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2" activeTab="5"/>
  </bookViews>
  <sheets>
    <sheet name="表1  一般公共预算收支总表" sheetId="6" r:id="rId1"/>
    <sheet name="表2 一般公共预算支出科目明细表 " sheetId="14" r:id="rId2"/>
    <sheet name="表3 政府性基金收支总表" sheetId="17" r:id="rId3"/>
    <sheet name="表4 政府性基金支出科目明细表" sheetId="12" r:id="rId4"/>
    <sheet name="表5 专项债分配方案" sheetId="18" r:id="rId5"/>
    <sheet name="表6 债务限额调整表" sheetId="19" r:id="rId6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'表1  一般公共预算收支总表'!$A$6:$IX$59</definedName>
    <definedName name="_xlnm._FilterDatabase" localSheetId="1" hidden="1">'表2 一般公共预算支出科目明细表 '!$A$4:$E$1348</definedName>
    <definedName name="_xlnm._FilterDatabase" localSheetId="2" hidden="1">'表3 政府性基金收支总表'!$A$6:$P$60</definedName>
    <definedName name="__xlfn.COUNTIFS" hidden="1">#NAME?</definedName>
    <definedName name="A" localSheetId="1">#REF!</definedName>
    <definedName name="A">#REF!</definedName>
    <definedName name="Database" localSheetId="0" hidden="1">#REF!</definedName>
    <definedName name="Database" localSheetId="1" hidden="1">#REF!</definedName>
    <definedName name="mhj">#N/A</definedName>
    <definedName name="_xlnm.Print_Area" hidden="1">#N/A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 hidden="1">'表1  一般公共预算收支总表'!$1:$6</definedName>
    <definedName name="_xlnm.Print_Titles" localSheetId="1">'表2 一般公共预算支出科目明细表 '!$1:$4</definedName>
    <definedName name="_xlnm.Print_Titles" localSheetId="3">'表4 政府性基金支出科目明细表'!$1:$4</definedName>
    <definedName name="S" localSheetId="1">#REF!</definedName>
    <definedName name="S">#REF!</definedName>
    <definedName name="备注" localSheetId="1">#REF!</definedName>
    <definedName name="备注">#REF!</definedName>
    <definedName name="部门类" localSheetId="1">#REF!</definedName>
    <definedName name="部门类">#REF!</definedName>
    <definedName name="大多数" localSheetId="0">[1]Sheet2!$A$15</definedName>
    <definedName name="大多数" localSheetId="1">[2]Sheet2!$A$15</definedName>
    <definedName name="大多数">[2]Sheet2!$A$15</definedName>
    <definedName name="单位" localSheetId="0">[3]Sheet1!$A$2:$A$138</definedName>
    <definedName name="单位" localSheetId="1">[4]Sheet1!$A$2:$A$138</definedName>
    <definedName name="单位">[4]Sheet1!$A$2:$A$138</definedName>
    <definedName name="单位对应" localSheetId="0">#REF!</definedName>
    <definedName name="单位对应" localSheetId="1">#REF!</definedName>
    <definedName name="单位类别" localSheetId="1">#REF!</definedName>
    <definedName name="单位类别">#REF!</definedName>
    <definedName name="单位性质" localSheetId="0">[5]基础编码!$D$2:$D$3</definedName>
    <definedName name="单位性质" localSheetId="1">[6]基础编码!$D$2:$D$3</definedName>
    <definedName name="单位性质">[7]基础编码!$D$2:$D$3</definedName>
    <definedName name="地区名称" localSheetId="0">#REF!</definedName>
    <definedName name="地区名称" localSheetId="1">#REF!</definedName>
    <definedName name="饿" localSheetId="0">#REF!</definedName>
    <definedName name="饿" localSheetId="1">#REF!</definedName>
    <definedName name="饿">#REF!</definedName>
    <definedName name="飞过海" localSheetId="0">[8]评估结果汇总表!$C$4</definedName>
    <definedName name="飞过海" localSheetId="1">[9]评估结果汇总表!$C$4</definedName>
    <definedName name="飞过海">[9]评估结果汇总表!$C$4</definedName>
    <definedName name="蛤4" localSheetId="0">#REF!</definedName>
    <definedName name="蛤4" localSheetId="1">#REF!</definedName>
    <definedName name="好" localSheetId="0">#REF!</definedName>
    <definedName name="好" localSheetId="1">#REF!</definedName>
    <definedName name="好比" localSheetId="0">#REF!</definedName>
    <definedName name="好比" localSheetId="1">#REF!</definedName>
    <definedName name="好比1" localSheetId="0">#REF!</definedName>
    <definedName name="好比1" localSheetId="1">#REF!</definedName>
    <definedName name="好比11" localSheetId="0">#REF!</definedName>
    <definedName name="好比11" localSheetId="1">#REF!</definedName>
    <definedName name="回收资金账户" localSheetId="1">#REF!</definedName>
    <definedName name="回收资金账户">#REF!</definedName>
    <definedName name="基本支出" localSheetId="0">[10]Sheet6!$C$1:$C$1370</definedName>
    <definedName name="基本支出" localSheetId="1">[11]Sheet6!$C$1:$C$1370</definedName>
    <definedName name="基本支出">[11]Sheet6!$C$1:$C$1370</definedName>
    <definedName name="基本支出表" hidden="1">#N/A</definedName>
    <definedName name="经费" localSheetId="0">#REF!</definedName>
    <definedName name="经费" localSheetId="1">#REF!</definedName>
    <definedName name="经济科目" localSheetId="0">[12]经费导入公式!$F$1:$F$106</definedName>
    <definedName name="经济科目" localSheetId="1">[13]经费导入公式!$F$1:$F$106</definedName>
    <definedName name="经济科目">[13]经费导入公式!$F$1:$F$106</definedName>
    <definedName name="科目" localSheetId="0">[10]Sheet6!$C$1:$C$1370</definedName>
    <definedName name="科目" localSheetId="1">[11]Sheet6!$C$1:$C$1370</definedName>
    <definedName name="科目">[11]Sheet6!$C$1:$C$1370</definedName>
    <definedName name="科目3" localSheetId="0">[10]Sheet6!$G$1:$G$1370</definedName>
    <definedName name="科目3" localSheetId="1">[11]Sheet6!$G$1:$G$1370</definedName>
    <definedName name="科目3">[11]Sheet6!$G$1:$G$1370</definedName>
    <definedName name="科目编码" localSheetId="0">#REF!</definedName>
    <definedName name="科目编码" localSheetId="1">#REF!</definedName>
    <definedName name="离退休" localSheetId="0">[14]公式源!$I$2:$I$7</definedName>
    <definedName name="离退休" localSheetId="1">[15]公式源!$I$2:$I$7</definedName>
    <definedName name="离退休">[15]公式源!$I$2:$I$7</definedName>
    <definedName name="吗" localSheetId="1">#REF!</definedName>
    <definedName name="吗">#REF!</definedName>
    <definedName name="任务分类" localSheetId="1">[16]任务!$A$1:$A$10</definedName>
    <definedName name="任务分类">[18]任务!$A$1:$A$10</definedName>
    <definedName name="森工" localSheetId="0">#REF!</definedName>
    <definedName name="森工" localSheetId="1">#REF!</definedName>
    <definedName name="森工">#REF!</definedName>
    <definedName name="市委办" localSheetId="0">#REF!</definedName>
    <definedName name="市委办" localSheetId="1">#REF!</definedName>
    <definedName name="市委办">#REF!</definedName>
    <definedName name="市直属机关工委" localSheetId="0">#REF!</definedName>
    <definedName name="市直属机关工委" localSheetId="1">#REF!</definedName>
    <definedName name="市直属机关工委">#REF!</definedName>
    <definedName name="我">#N/A</definedName>
    <definedName name="乡镇科目" localSheetId="0">#REF!</definedName>
    <definedName name="乡镇科目" localSheetId="1">#REF!</definedName>
    <definedName name="项目" localSheetId="0">#REF!</definedName>
    <definedName name="项目" localSheetId="1">#REF!</definedName>
    <definedName name="新科目" localSheetId="0">'[19]资料‘一般预算支出明细(简表测算表格)’'!#REF!</definedName>
    <definedName name="新科目" localSheetId="1">'[20]资料‘一般预算支出明细(简表测算表格)’'!#REF!</definedName>
    <definedName name="新科目">'[20]资料‘一般预算支出明细(简表测算表格)’'!#REF!</definedName>
    <definedName name="洋10" localSheetId="0">#REF!</definedName>
    <definedName name="洋10" localSheetId="1">#REF!</definedName>
    <definedName name="洋10">#REF!</definedName>
    <definedName name="预算科目" localSheetId="0">#REF!</definedName>
    <definedName name="预算科目" localSheetId="1">#REF!</definedName>
    <definedName name="债务来源">'[21]2014年地方政府性债务收支计划表（按债务来源）'!$B$8:$B$19</definedName>
    <definedName name="债务类别" localSheetId="1">#REF!</definedName>
    <definedName name="债务类别">#REF!</definedName>
    <definedName name="资金来源">[22]农业保险台账汇总表!$B$8:$B$49</definedName>
    <definedName name="最低生活保障" localSheetId="0">#REF!</definedName>
    <definedName name="最低生活保障" localSheetId="1">#REF!</definedName>
    <definedName name="最低生活保障">#REF!</definedName>
    <definedName name="전" localSheetId="0">#REF!</definedName>
    <definedName name="전" localSheetId="1">#REF!</definedName>
    <definedName name="전">#REF!</definedName>
    <definedName name="주택사업본부" localSheetId="0">#REF!</definedName>
    <definedName name="주택사업본부" localSheetId="1">#REF!</definedName>
    <definedName name="주택사업본부">#REF!</definedName>
    <definedName name="철구사업본부" localSheetId="0">#REF!</definedName>
    <definedName name="철구사업본부" localSheetId="1">#REF!</definedName>
    <definedName name="철구사업본부">#REF!</definedName>
    <definedName name="_xlnm.Print_Area" localSheetId="0">'表1  一般公共预算收支总表'!$A$4:$H$57</definedName>
    <definedName name="A" localSheetId="2">#REF!</definedName>
    <definedName name="Database" localSheetId="2" hidden="1">#REF!</definedName>
    <definedName name="Print_Area_MI" localSheetId="2">#REF!</definedName>
    <definedName name="_xlnm.Print_Titles" localSheetId="2">'表3 政府性基金收支总表'!$1:$6</definedName>
    <definedName name="S" localSheetId="2">#REF!</definedName>
    <definedName name="备注" localSheetId="2">#REF!</definedName>
    <definedName name="部门类" localSheetId="2">#REF!</definedName>
    <definedName name="大多数" localSheetId="2">[2]Sheet2!$A$15</definedName>
    <definedName name="单位对应" localSheetId="2">#REF!</definedName>
    <definedName name="单位类别" localSheetId="2">#REF!</definedName>
    <definedName name="地区名称" localSheetId="2">#REF!</definedName>
    <definedName name="饿" localSheetId="2">#REF!</definedName>
    <definedName name="飞过海" localSheetId="2">[9]评估结果汇总表!$C$4</definedName>
    <definedName name="蛤4" localSheetId="2">#REF!</definedName>
    <definedName name="好" localSheetId="2">#REF!</definedName>
    <definedName name="好比" localSheetId="2">#REF!</definedName>
    <definedName name="好比1" localSheetId="2">#REF!</definedName>
    <definedName name="好比11" localSheetId="2">#REF!</definedName>
    <definedName name="回收资金账户" localSheetId="2">#REF!</definedName>
    <definedName name="经费" localSheetId="2">#REF!</definedName>
    <definedName name="科目编码" localSheetId="2">#REF!</definedName>
    <definedName name="吗" localSheetId="2">#REF!</definedName>
    <definedName name="任务分类" localSheetId="2">[17]任务!$A$1:$A$10</definedName>
    <definedName name="森工" localSheetId="2">#REF!</definedName>
    <definedName name="市委办" localSheetId="2">#REF!</definedName>
    <definedName name="市直属机关工委" localSheetId="2">#REF!</definedName>
    <definedName name="乡镇科目" localSheetId="2">#REF!</definedName>
    <definedName name="项目" localSheetId="2">#REF!</definedName>
    <definedName name="新科目" localSheetId="2">'[20]资料‘一般预算支出明细(简表测算表格)’'!#REF!</definedName>
    <definedName name="洋10" localSheetId="2">#REF!</definedName>
    <definedName name="预算科目" localSheetId="2">#REF!</definedName>
    <definedName name="债务类别" localSheetId="2">#REF!</definedName>
    <definedName name="最低生活保障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A" localSheetId="4">#REF!</definedName>
    <definedName name="Print_Area_MI" localSheetId="4">#REF!</definedName>
    <definedName name="S" localSheetId="4">#REF!</definedName>
    <definedName name="备注" localSheetId="4">#REF!</definedName>
    <definedName name="部门类" localSheetId="4">#REF!</definedName>
    <definedName name="单位类别" localSheetId="4">#REF!</definedName>
    <definedName name="饿" localSheetId="4">#REF!</definedName>
    <definedName name="回收资金账户" localSheetId="4">#REF!</definedName>
    <definedName name="吗" localSheetId="4">#REF!</definedName>
    <definedName name="森工" localSheetId="4">#REF!</definedName>
    <definedName name="市委办" localSheetId="4">#REF!</definedName>
    <definedName name="市直属机关工委" localSheetId="4">#REF!</definedName>
    <definedName name="洋10" localSheetId="4">#REF!</definedName>
    <definedName name="债务类别" localSheetId="4">#REF!</definedName>
    <definedName name="最低生活保障" localSheetId="4">#REF!</definedName>
    <definedName name="전" localSheetId="4">#REF!</definedName>
    <definedName name="주택사업본부" localSheetId="4">#REF!</definedName>
    <definedName name="철구사업본부" localSheetId="4">#REF!</definedName>
    <definedName name="Database" hidden="1">#REF!</definedName>
    <definedName name="_xlnm.Print_Titles" hidden="1">#N/A</definedName>
    <definedName name="单位对应">#REF!</definedName>
    <definedName name="单位性质" localSheetId="5">[23]基础编码!$D$2:$D$3</definedName>
    <definedName name="地区名称">#REF!</definedName>
    <definedName name="蛤4">#REF!</definedName>
    <definedName name="好">#REF!</definedName>
    <definedName name="好比">#REF!</definedName>
    <definedName name="好比1">#REF!</definedName>
    <definedName name="好比11">#REF!</definedName>
    <definedName name="基本支出" localSheetId="5">[25]Sheet6!$C$1:$C$1370</definedName>
    <definedName name="经费">#REF!</definedName>
    <definedName name="科目" localSheetId="5">[25]Sheet6!$C$1:$C$1370</definedName>
    <definedName name="科目3" localSheetId="5">[25]Sheet6!$G$1:$G$1370</definedName>
    <definedName name="科目编码">#REF!</definedName>
    <definedName name="森工" localSheetId="5">#REF!</definedName>
    <definedName name="市委办" localSheetId="5">#REF!</definedName>
    <definedName name="市直属机关工委" localSheetId="5">#REF!</definedName>
    <definedName name="乡镇科目">#REF!</definedName>
    <definedName name="项目">#REF!</definedName>
    <definedName name="新科目" localSheetId="5">'[20]资料‘一般预算支出明细(简表测算表格)’'!#REF!</definedName>
    <definedName name="预算科目">#REF!</definedName>
    <definedName name="最低生活保障" localSheetId="5">#REF!</definedName>
    <definedName name="Print_Area_MI" localSheetId="5">#REF!</definedName>
    <definedName name="大多数" localSheetId="5">[2]!$A$15</definedName>
    <definedName name="饿" localSheetId="5">#REF!</definedName>
    <definedName name="飞过海" localSheetId="5">[9]!$C$4</definedName>
    <definedName name="任务分类" localSheetId="5">[28]任务!$A$1:$A$10</definedName>
    <definedName name="洋10" localSheetId="5">#REF!</definedName>
    <definedName name="전" localSheetId="5">#REF!</definedName>
    <definedName name="주택사업본부" localSheetId="5">#REF!</definedName>
    <definedName name="철구사업본부" localSheetId="5">#REF!</definedName>
  </definedNames>
  <calcPr calcId="144525"/>
</workbook>
</file>

<file path=xl/sharedStrings.xml><?xml version="1.0" encoding="utf-8"?>
<sst xmlns="http://schemas.openxmlformats.org/spreadsheetml/2006/main" count="1721" uniqueCount="1330">
  <si>
    <t>附件2-1</t>
  </si>
  <si>
    <t>东方市2024年一般公共预算收支调整表</t>
  </si>
  <si>
    <t>金额单位：万元</t>
  </si>
  <si>
    <t xml:space="preserve">    收      入</t>
  </si>
  <si>
    <t>支     出</t>
  </si>
  <si>
    <t>科目名称</t>
  </si>
  <si>
    <t>2023年决算数</t>
  </si>
  <si>
    <t>2024年年初预算数</t>
  </si>
  <si>
    <t>2024年当前预算数</t>
  </si>
  <si>
    <t>此次调整金额</t>
  </si>
  <si>
    <t>2024年调整预算数</t>
  </si>
  <si>
    <t>比2023年决算数增减额</t>
  </si>
  <si>
    <t>比2023年决算数增减%</t>
  </si>
  <si>
    <t>一、地方一般公共预算收入</t>
  </si>
  <si>
    <t>一、地方一般公共预算支出</t>
  </si>
  <si>
    <t>（一）税收收入</t>
  </si>
  <si>
    <t>（一）一般公共服务支出</t>
  </si>
  <si>
    <t xml:space="preserve">  1.增值税</t>
  </si>
  <si>
    <t>（二） 外交支出</t>
  </si>
  <si>
    <t xml:space="preserve">  2.企业所得税</t>
  </si>
  <si>
    <t>（三）国防支出</t>
  </si>
  <si>
    <t xml:space="preserve">  3.个人所得税</t>
  </si>
  <si>
    <t>（四）公共安全支出</t>
  </si>
  <si>
    <t xml:space="preserve">  4.资源税</t>
  </si>
  <si>
    <t>（五）教育支出</t>
  </si>
  <si>
    <t xml:space="preserve">  5.城市维护建设税</t>
  </si>
  <si>
    <t>（六）科学技术支出</t>
  </si>
  <si>
    <t xml:space="preserve">  6.房产税</t>
  </si>
  <si>
    <t>（七）文化旅游体育与传媒支出</t>
  </si>
  <si>
    <t xml:space="preserve">  7.印花税</t>
  </si>
  <si>
    <t>（八）社会保障和就业支出</t>
  </si>
  <si>
    <t xml:space="preserve">  8.城镇土地使用税</t>
  </si>
  <si>
    <t>（九）卫生健康支出</t>
  </si>
  <si>
    <t xml:space="preserve">  9.土地增值税</t>
  </si>
  <si>
    <t>（十）节能环保支出</t>
  </si>
  <si>
    <t xml:space="preserve">  10.车船税</t>
  </si>
  <si>
    <t>（十一）城乡社区支出</t>
  </si>
  <si>
    <t xml:space="preserve">  11.耕地占用税</t>
  </si>
  <si>
    <t>（十二）农林水支出</t>
  </si>
  <si>
    <t xml:space="preserve">  12.契税</t>
  </si>
  <si>
    <t>（十三）交通运输支出</t>
  </si>
  <si>
    <t xml:space="preserve">  13.烟叶税</t>
  </si>
  <si>
    <t>（十四）资源勘探信息等支出</t>
  </si>
  <si>
    <t xml:space="preserve">  14.环境保护税</t>
  </si>
  <si>
    <t>（十五）商业服务业等支出</t>
  </si>
  <si>
    <t xml:space="preserve">  15.其他税收收入</t>
  </si>
  <si>
    <t>（十六）金融支出</t>
  </si>
  <si>
    <t>（二）非税收入</t>
  </si>
  <si>
    <t>（十七）援助其他地区支出</t>
  </si>
  <si>
    <t xml:space="preserve">  1.专项收入</t>
  </si>
  <si>
    <t>（十八）自然资源海洋气象等支出</t>
  </si>
  <si>
    <t xml:space="preserve">  2.行政事业性收费收入</t>
  </si>
  <si>
    <t>（十九）住房保障支出</t>
  </si>
  <si>
    <t xml:space="preserve">  3.罚没收入</t>
  </si>
  <si>
    <t>（二十）粮油物资储备支出</t>
  </si>
  <si>
    <t xml:space="preserve">  4.国有资本经营收入</t>
  </si>
  <si>
    <t>（二十一）灾害防治及应急管理支出</t>
  </si>
  <si>
    <t xml:space="preserve">  5.国有资源（资产）有偿使用收入</t>
  </si>
  <si>
    <t>（二十三）其他支出</t>
  </si>
  <si>
    <t xml:space="preserve">  6.捐赠收入</t>
  </si>
  <si>
    <t>（二十四）债务付息支出</t>
  </si>
  <si>
    <t xml:space="preserve">  7.政府住房基金收入</t>
  </si>
  <si>
    <t>（二十五）债务发行费用支出</t>
  </si>
  <si>
    <t xml:space="preserve">  8.其他收入</t>
  </si>
  <si>
    <t>二、预备费</t>
  </si>
  <si>
    <t>二、转移性收入</t>
  </si>
  <si>
    <t>三、转移性支出</t>
  </si>
  <si>
    <t>（一）返还性收入</t>
  </si>
  <si>
    <t>（一）上解上级支出</t>
  </si>
  <si>
    <t xml:space="preserve">  1.所得税基数返还收入</t>
  </si>
  <si>
    <t xml:space="preserve">  1.体制上解支出</t>
  </si>
  <si>
    <t xml:space="preserve">  2.增值税税收返还收入 </t>
  </si>
  <si>
    <t xml:space="preserve">  2.专项上解支出</t>
  </si>
  <si>
    <t xml:space="preserve">  3.消费税税收返还收入 </t>
  </si>
  <si>
    <t>（二）地方政府一般债务还本支出</t>
  </si>
  <si>
    <t>（二）一般性转移支付收入</t>
  </si>
  <si>
    <t xml:space="preserve">  1.地方政府一般债券还本支出</t>
  </si>
  <si>
    <t xml:space="preserve">  1.均衡性转移支付补助收入</t>
  </si>
  <si>
    <t xml:space="preserve">  2.地方政府其他一般债务还本支出</t>
  </si>
  <si>
    <t xml:space="preserve">  2.重点生态区功能转移支付收入</t>
  </si>
  <si>
    <t>（三）调出资金</t>
  </si>
  <si>
    <t xml:space="preserve">  3.革命老区转移支付收入</t>
  </si>
  <si>
    <t>（四）安排预算稳定调节基金</t>
  </si>
  <si>
    <t xml:space="preserve">  4.边境地区转移支付收入</t>
  </si>
  <si>
    <t>（五）年终结余结转</t>
  </si>
  <si>
    <t xml:space="preserve">  5.巩固脱贫攻坚成果衔接乡村振兴转移支付收入</t>
  </si>
  <si>
    <t xml:space="preserve">  6.固定数额补助收入</t>
  </si>
  <si>
    <t xml:space="preserve">  7.县级基本财力保障机制奖补资金收入</t>
  </si>
  <si>
    <t xml:space="preserve">  8.共同财政事权转移支付收入</t>
  </si>
  <si>
    <t xml:space="preserve">  9.产粮（油）大县奖励资金支出</t>
  </si>
  <si>
    <t xml:space="preserve">  10.结算补助收入</t>
  </si>
  <si>
    <t xml:space="preserve">  11.增值税留抵退税转移支付收入</t>
  </si>
  <si>
    <t xml:space="preserve">  12.其他退税减税降费转移支付收入</t>
  </si>
  <si>
    <t xml:space="preserve">  13.其他一般性转移支付收入</t>
  </si>
  <si>
    <t>（三）专项转移支付收入</t>
  </si>
  <si>
    <t>（四）调入资金</t>
  </si>
  <si>
    <t>（五）地方政府一般债务转贷收入</t>
  </si>
  <si>
    <t>（六）动用预算稳定调节基金</t>
  </si>
  <si>
    <t>（七）上年结余结转收入</t>
  </si>
  <si>
    <t>收入合计</t>
  </si>
  <si>
    <t>支出合计</t>
  </si>
  <si>
    <t>附件2-2</t>
  </si>
  <si>
    <t>东方市2024年一般公共预算支出功能科目明细表</t>
  </si>
  <si>
    <t>2024年调整预算</t>
  </si>
  <si>
    <t>本年为上年%</t>
  </si>
  <si>
    <t xml:space="preserve">  （一）一般公共服务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</si>
  <si>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</si>
  <si>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</si>
  <si>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</si>
  <si>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</si>
  <si>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</si>
  <si>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</si>
  <si>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</si>
  <si>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</si>
  <si>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</si>
  <si>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</si>
  <si>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</si>
  <si>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</si>
  <si>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</si>
  <si>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</si>
  <si>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</si>
  <si>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</si>
  <si>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</si>
  <si>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</si>
  <si>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</si>
  <si>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</si>
  <si>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</si>
  <si>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</si>
  <si>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</si>
  <si>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</si>
  <si>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</si>
  <si>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</si>
  <si>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</si>
  <si>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</si>
  <si>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</si>
  <si>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</si>
  <si>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</si>
  <si>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</si>
  <si>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</si>
  <si>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</si>
  <si>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</si>
  <si>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</si>
  <si>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</si>
  <si>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</si>
  <si>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</si>
  <si>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</si>
  <si>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</si>
  <si>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</si>
  <si>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</si>
  <si>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</si>
  <si>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</si>
  <si>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</si>
  <si>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</si>
  <si>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</si>
  <si>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</si>
  <si>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</si>
  <si>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</si>
  <si>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</si>
  <si>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</si>
  <si>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</si>
  <si>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</si>
  <si>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</si>
  <si>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</si>
  <si>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</si>
  <si>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</si>
  <si>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</si>
  <si>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</si>
  <si>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</si>
  <si>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</si>
  <si>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</si>
  <si>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</si>
  <si>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</si>
  <si>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</si>
  <si>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</si>
  <si>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</si>
  <si>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</si>
  <si>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</si>
  <si>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</si>
  <si>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</si>
  <si>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</si>
  <si>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</si>
  <si>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</si>
  <si>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</si>
  <si>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</si>
  <si>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</si>
  <si>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</si>
  <si>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</si>
  <si>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</si>
  <si>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</si>
  <si>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</si>
  <si>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</si>
  <si>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</si>
  <si>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</si>
  <si>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</si>
  <si>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</si>
  <si>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</si>
  <si>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</si>
  <si>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</si>
  <si>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</si>
  <si>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</si>
  <si>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</si>
  <si>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</si>
  <si>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</si>
  <si>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</si>
  <si>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</si>
  <si>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</si>
  <si>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</si>
  <si>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</si>
  <si>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</si>
  <si>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</si>
  <si>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</si>
  <si>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</si>
  <si>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</si>
  <si>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</si>
  <si>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</si>
  <si>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</si>
  <si>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</si>
  <si>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</si>
  <si>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</si>
  <si>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</si>
  <si>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</si>
  <si>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</si>
  <si>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</si>
  <si>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</si>
  <si>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</si>
  <si>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</si>
  <si>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</si>
  <si>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</si>
  <si>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</si>
  <si>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</si>
  <si>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社会工作事务</t>
  </si>
  <si>
    <t xml:space="preserve">      其他社会工作事务支出</t>
  </si>
  <si>
    <t xml:space="preserve">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</si>
  <si>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</si>
  <si>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</si>
  <si>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</si>
  <si>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</si>
  <si>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</si>
  <si>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（二）外交支出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</si>
  <si>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</si>
  <si>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</si>
  <si>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</si>
  <si>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驻外使领馆（团、处）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</si>
  <si>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</si>
  <si>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</si>
  <si>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</si>
  <si>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</si>
  <si>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</si>
  <si>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</si>
  <si>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</si>
  <si>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</si>
  <si>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</si>
  <si>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</si>
  <si>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</si>
  <si>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</si>
  <si>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</si>
  <si>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</si>
  <si>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</si>
  <si>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</si>
  <si>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</si>
  <si>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</si>
  <si>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</si>
  <si>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</si>
  <si>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</si>
  <si>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</si>
  <si>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</si>
  <si>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</si>
  <si>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</si>
  <si>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</si>
  <si>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（三）国防支出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</si>
  <si>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</si>
  <si>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</si>
  <si>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</si>
  <si>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</si>
  <si>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</si>
  <si>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</si>
  <si>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</si>
  <si>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</si>
  <si>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</si>
  <si>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</si>
  <si>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</si>
  <si>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</si>
  <si>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</si>
  <si>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</si>
  <si>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</si>
  <si>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</si>
  <si>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</si>
  <si>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</si>
  <si>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（四）公共安全支出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</si>
  <si>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</si>
  <si>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</si>
  <si>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</si>
  <si>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</si>
  <si>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</si>
  <si>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</si>
  <si>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</si>
  <si>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</si>
  <si>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</si>
  <si>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</si>
  <si>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</si>
  <si>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</si>
  <si>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</si>
  <si>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</si>
  <si>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</si>
  <si>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</si>
  <si>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</si>
  <si>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</si>
  <si>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</si>
  <si>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</si>
  <si>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</si>
  <si>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</si>
  <si>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</si>
  <si>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</si>
  <si>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</si>
  <si>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</si>
  <si>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</si>
  <si>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</si>
  <si>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</si>
  <si>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</si>
  <si>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</si>
  <si>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</si>
  <si>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</si>
  <si>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</si>
  <si>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</si>
  <si>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</si>
  <si>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</si>
  <si>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</si>
  <si>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</si>
  <si>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</si>
  <si>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</si>
  <si>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</si>
  <si>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</si>
  <si>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</si>
  <si>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</si>
  <si>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</si>
  <si>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</si>
  <si>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</si>
  <si>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</si>
  <si>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</si>
  <si>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（五）教育支出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</si>
  <si>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</si>
  <si>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</si>
  <si>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</si>
  <si>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</si>
  <si>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</si>
  <si>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</si>
  <si>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</si>
  <si>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</si>
  <si>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</si>
  <si>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</si>
  <si>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</si>
  <si>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</si>
  <si>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</si>
  <si>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</si>
  <si>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</si>
  <si>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</si>
  <si>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</si>
  <si>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</si>
  <si>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</si>
  <si>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</si>
  <si>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</si>
  <si>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</si>
  <si>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</si>
  <si>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</si>
  <si>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</si>
  <si>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</si>
  <si>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</si>
  <si>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</si>
  <si>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</si>
  <si>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</si>
  <si>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</si>
  <si>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</si>
  <si>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</si>
  <si>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</si>
  <si>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</si>
  <si>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</si>
  <si>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</si>
  <si>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</si>
  <si>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</si>
  <si>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</si>
  <si>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</si>
  <si>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</si>
  <si>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</si>
  <si>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</si>
  <si>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</si>
  <si>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</si>
  <si>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</si>
  <si>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</si>
  <si>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（六）科学技术支出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</si>
  <si>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</si>
  <si>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</si>
  <si>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</si>
  <si>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</si>
  <si>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</si>
  <si>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</si>
  <si>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</si>
  <si>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</si>
  <si>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</si>
  <si>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</si>
  <si>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</si>
  <si>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</si>
  <si>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</si>
  <si>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</si>
  <si>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</si>
  <si>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</si>
  <si>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</si>
  <si>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</si>
  <si>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</si>
  <si>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</si>
  <si>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</si>
  <si>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</si>
  <si>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</si>
  <si>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</si>
  <si>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</si>
  <si>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</si>
  <si>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</si>
  <si>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</si>
  <si>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</si>
  <si>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</si>
  <si>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</si>
  <si>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</si>
  <si>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</si>
  <si>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</si>
  <si>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</si>
  <si>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</si>
  <si>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</si>
  <si>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</si>
  <si>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</si>
  <si>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</si>
  <si>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</si>
  <si>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</si>
  <si>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</si>
  <si>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</si>
  <si>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</si>
  <si>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</si>
  <si>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</si>
  <si>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</si>
  <si>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（七）文化旅游体育与传媒支出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</si>
  <si>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</si>
  <si>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</si>
  <si>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</si>
  <si>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</si>
  <si>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</si>
  <si>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</si>
  <si>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</si>
  <si>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</si>
  <si>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</si>
  <si>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</si>
  <si>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</si>
  <si>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</si>
  <si>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</si>
  <si>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</si>
  <si>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</si>
  <si>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</si>
  <si>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</si>
  <si>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</si>
  <si>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</si>
  <si>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</si>
  <si>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</si>
  <si>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</si>
  <si>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</si>
  <si>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</si>
  <si>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</si>
  <si>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</si>
  <si>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</si>
  <si>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</si>
  <si>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</si>
  <si>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</si>
  <si>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</si>
  <si>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</si>
  <si>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</si>
  <si>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</si>
  <si>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</si>
  <si>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</si>
  <si>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</si>
  <si>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</si>
  <si>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</si>
  <si>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</si>
  <si>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</si>
  <si>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（八）社会保障和就业支出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</si>
  <si>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</si>
  <si>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</si>
  <si>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</si>
  <si>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</si>
  <si>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</si>
  <si>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</si>
  <si>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</si>
  <si>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</si>
  <si>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</si>
  <si>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</si>
  <si>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</si>
  <si>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</si>
  <si>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</si>
  <si>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</si>
  <si>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</si>
  <si>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</si>
  <si>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</si>
  <si>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</si>
  <si>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</si>
  <si>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</si>
  <si>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</si>
  <si>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</si>
  <si>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</si>
  <si>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</si>
  <si>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</si>
  <si>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</si>
  <si>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</si>
  <si>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</si>
  <si>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</si>
  <si>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</si>
  <si>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</si>
  <si>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</si>
  <si>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</si>
  <si>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</si>
  <si>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</si>
  <si>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</si>
  <si>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</si>
  <si>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</si>
  <si>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</si>
  <si>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</si>
  <si>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</si>
  <si>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</si>
  <si>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</si>
  <si>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</si>
  <si>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</si>
  <si>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</si>
  <si>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</si>
  <si>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</si>
  <si>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</si>
  <si>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</si>
  <si>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</si>
  <si>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</si>
  <si>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</si>
  <si>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</si>
  <si>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</si>
  <si>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</si>
  <si>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</si>
  <si>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</si>
  <si>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</si>
  <si>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</si>
  <si>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</si>
  <si>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</si>
  <si>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</si>
  <si>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</si>
  <si>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</si>
  <si>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</si>
  <si>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</si>
  <si>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</si>
  <si>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</si>
  <si>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</si>
  <si>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</si>
  <si>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</si>
  <si>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</si>
  <si>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</si>
  <si>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</si>
  <si>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</si>
  <si>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</si>
  <si>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</si>
  <si>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</si>
  <si>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</si>
  <si>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</si>
  <si>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</si>
  <si>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</si>
  <si>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</si>
  <si>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</si>
  <si>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</si>
  <si>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</si>
  <si>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</si>
  <si>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</si>
  <si>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</si>
  <si>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</si>
  <si>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</si>
  <si>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</si>
  <si>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</si>
  <si>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</si>
  <si>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</si>
  <si>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</si>
  <si>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</si>
  <si>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</si>
  <si>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</si>
  <si>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</si>
  <si>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</si>
  <si>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</si>
  <si>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</si>
  <si>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</si>
  <si>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</si>
  <si>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</si>
  <si>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</si>
  <si>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 （九）卫生健康支出</t>
  </si>
  <si>
    <t xml:space="preserve">    卫生健康管理事务</t>
  </si>
  <si>
    <t xml:space="preserve">      般行政管理事务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</si>
  <si>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</si>
  <si>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</si>
  <si>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</si>
  <si>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</si>
  <si>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</si>
  <si>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</si>
  <si>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</si>
  <si>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</si>
  <si>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</si>
  <si>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</si>
  <si>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</si>
  <si>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</si>
  <si>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</si>
  <si>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</si>
  <si>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</si>
  <si>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</si>
  <si>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</si>
  <si>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</si>
  <si>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</si>
  <si>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</si>
  <si>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</si>
  <si>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</si>
  <si>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</si>
  <si>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</si>
  <si>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</si>
  <si>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</si>
  <si>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</si>
  <si>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</si>
  <si>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</si>
  <si>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</si>
  <si>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</si>
  <si>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</si>
  <si>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</si>
  <si>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</si>
  <si>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</si>
  <si>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</si>
  <si>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</si>
  <si>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</si>
  <si>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</si>
  <si>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</si>
  <si>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</si>
  <si>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</si>
  <si>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</si>
  <si>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</si>
  <si>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</si>
  <si>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</si>
  <si>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</si>
  <si>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</si>
  <si>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</si>
  <si>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</si>
  <si>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</si>
  <si>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</si>
  <si>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</si>
  <si>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</si>
  <si>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</si>
  <si>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</si>
  <si>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</si>
  <si>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</si>
  <si>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  中医药事务</t>
  </si>
  <si>
    <t xml:space="preserve">    行政运行</t>
  </si>
  <si>
    <t xml:space="preserve">      中医（民族医）药专项</t>
  </si>
  <si>
    <t xml:space="preserve">      其他中医药事务支出</t>
  </si>
  <si>
    <t xml:space="preserve">    疾病预防控制事务</t>
  </si>
  <si>
    <t xml:space="preserve">      其他疾病预防控制事务支出</t>
  </si>
  <si>
    <t xml:space="preserve">    其他卫生健康支出</t>
  </si>
  <si>
    <t xml:space="preserve">      其他卫生健康支出</t>
  </si>
  <si>
    <t xml:space="preserve">  （十）节能环保支出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</si>
  <si>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</si>
  <si>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</si>
  <si>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</si>
  <si>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</si>
  <si>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</si>
  <si>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</si>
  <si>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</si>
  <si>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</si>
  <si>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</si>
  <si>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</si>
  <si>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</si>
  <si>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</si>
  <si>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</si>
  <si>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</si>
  <si>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</si>
  <si>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</si>
  <si>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</si>
  <si>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</si>
  <si>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</si>
  <si>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</si>
  <si>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</si>
  <si>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</si>
  <si>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</si>
  <si>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</si>
  <si>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</si>
  <si>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</si>
  <si>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</si>
  <si>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</si>
  <si>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</si>
  <si>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</si>
  <si>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</si>
  <si>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</si>
  <si>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</si>
  <si>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其他森林保护修复支出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</si>
  <si>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</si>
  <si>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</si>
  <si>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</si>
  <si>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</si>
  <si>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</si>
  <si>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</si>
  <si>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</si>
  <si>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</si>
  <si>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</si>
  <si>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</si>
  <si>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</si>
  <si>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</si>
  <si>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</si>
  <si>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</si>
  <si>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</si>
  <si>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</si>
  <si>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</si>
  <si>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</si>
  <si>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</si>
  <si>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</si>
  <si>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</si>
  <si>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</si>
  <si>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</si>
  <si>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</si>
  <si>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</si>
  <si>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</si>
  <si>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</si>
  <si>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</si>
  <si>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（十一）城乡社区支出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</si>
  <si>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</si>
  <si>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</si>
  <si>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</si>
  <si>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</si>
  <si>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</si>
  <si>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</si>
  <si>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</si>
  <si>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</si>
  <si>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</si>
  <si>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</si>
  <si>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</si>
  <si>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</si>
  <si>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</si>
  <si>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</si>
  <si>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</si>
  <si>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</si>
  <si>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</si>
  <si>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</si>
  <si>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</si>
  <si>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（十二）农林水支出</t>
  </si>
  <si>
    <t xml:space="preserve"> 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</si>
  <si>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</si>
  <si>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</si>
  <si>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</si>
  <si>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</si>
  <si>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</si>
  <si>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</si>
  <si>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</si>
  <si>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</si>
  <si>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</si>
  <si>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</si>
  <si>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</si>
  <si>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</si>
  <si>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</si>
  <si>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</si>
  <si>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</si>
  <si>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</si>
  <si>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</si>
  <si>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</si>
  <si>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</si>
  <si>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</si>
  <si>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</si>
  <si>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</si>
  <si>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</si>
  <si>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</si>
  <si>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</si>
  <si>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</si>
  <si>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</si>
  <si>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</si>
  <si>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</si>
  <si>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</si>
  <si>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</si>
  <si>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</si>
  <si>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</si>
  <si>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</si>
  <si>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</si>
  <si>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</si>
  <si>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</si>
  <si>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</si>
  <si>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</si>
  <si>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</si>
  <si>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</si>
  <si>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</si>
  <si>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</si>
  <si>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</si>
  <si>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</si>
  <si>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</si>
  <si>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</si>
  <si>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</si>
  <si>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</si>
  <si>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</si>
  <si>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</si>
  <si>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</si>
  <si>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</si>
  <si>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</si>
  <si>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</si>
  <si>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</si>
  <si>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</si>
  <si>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</si>
  <si>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</si>
  <si>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</si>
  <si>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</si>
  <si>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</si>
  <si>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</si>
  <si>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</si>
  <si>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</si>
  <si>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</si>
  <si>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</si>
  <si>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</si>
  <si>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</si>
  <si>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 生产发展</t>
  </si>
  <si>
    <t xml:space="preserve">       社会发展</t>
  </si>
  <si>
    <t xml:space="preserve">       贷款奖补和贴息</t>
  </si>
  <si>
    <t xml:space="preserve">      “三西”农业建设专项补助</t>
  </si>
  <si>
    <t xml:space="preserve">       事业运行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</si>
  <si>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</si>
  <si>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</si>
  <si>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</si>
  <si>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</si>
  <si>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</si>
  <si>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</si>
  <si>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</si>
  <si>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</si>
  <si>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</si>
  <si>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</si>
  <si>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</si>
  <si>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</si>
  <si>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</si>
  <si>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</si>
  <si>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</si>
  <si>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</si>
  <si>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</si>
  <si>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</si>
  <si>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</si>
  <si>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</si>
  <si>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</si>
  <si>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（十三）交通运输支出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</si>
  <si>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</si>
  <si>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</si>
  <si>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</si>
  <si>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</si>
  <si>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</si>
  <si>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</si>
  <si>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</si>
  <si>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</si>
  <si>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</si>
  <si>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</si>
  <si>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</si>
  <si>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</si>
  <si>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</si>
  <si>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</si>
  <si>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</si>
  <si>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</si>
  <si>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</si>
  <si>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</si>
  <si>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</si>
  <si>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</si>
  <si>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</si>
  <si>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</si>
  <si>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</si>
  <si>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</si>
  <si>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</si>
  <si>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</si>
  <si>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</si>
  <si>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</si>
  <si>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</si>
  <si>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</si>
  <si>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</si>
  <si>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</si>
  <si>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</si>
  <si>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</si>
  <si>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</si>
  <si>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</si>
  <si>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</si>
  <si>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</si>
  <si>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</si>
  <si>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（十四）资源勘探工业信息等支出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</si>
  <si>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</si>
  <si>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</si>
  <si>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</si>
  <si>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</si>
  <si>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</si>
  <si>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</si>
  <si>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</si>
  <si>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</si>
  <si>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</si>
  <si>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</si>
  <si>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</si>
  <si>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</si>
  <si>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</si>
  <si>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</si>
  <si>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</si>
  <si>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</si>
  <si>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</si>
  <si>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</si>
  <si>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</si>
  <si>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</si>
  <si>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</si>
  <si>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</si>
  <si>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</si>
  <si>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</si>
  <si>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</si>
  <si>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</si>
  <si>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</si>
  <si>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</si>
  <si>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</si>
  <si>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</si>
  <si>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</si>
  <si>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</si>
  <si>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</si>
  <si>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</si>
  <si>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</si>
  <si>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</si>
  <si>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</si>
  <si>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</si>
  <si>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</si>
  <si>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</si>
  <si>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</si>
  <si>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</si>
  <si>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</si>
  <si>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</si>
  <si>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（十五）商业服务业等支出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</si>
  <si>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</si>
  <si>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</si>
  <si>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</si>
  <si>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</si>
  <si>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</si>
  <si>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</si>
  <si>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</si>
  <si>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</si>
  <si>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</si>
  <si>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</si>
  <si>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</si>
  <si>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</si>
  <si>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（十六）金融支出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</si>
  <si>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</si>
  <si>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</si>
  <si>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</si>
  <si>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</si>
  <si>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</si>
  <si>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</si>
  <si>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</si>
  <si>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</si>
  <si>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</si>
  <si>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</si>
  <si>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</si>
  <si>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</si>
  <si>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</si>
  <si>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</si>
  <si>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</si>
  <si>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</si>
  <si>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</si>
  <si>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</si>
  <si>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</si>
  <si>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</si>
  <si>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</si>
  <si>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</si>
  <si>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</si>
  <si>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</si>
  <si>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</si>
  <si>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（十七）援助其他地区支出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</si>
  <si>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</si>
  <si>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</si>
  <si>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</si>
  <si>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</si>
  <si>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</si>
  <si>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农业农村</t>
  </si>
  <si>
    <t xml:space="preserve">    交通运输</t>
  </si>
  <si>
    <t xml:space="preserve">    住房保障</t>
  </si>
  <si>
    <t xml:space="preserve">    其他支出</t>
  </si>
  <si>
    <t xml:space="preserve">  （十八）自然资源海洋气象等支出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</si>
  <si>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</si>
  <si>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</si>
  <si>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</si>
  <si>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</si>
  <si>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</si>
  <si>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</si>
  <si>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</si>
  <si>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</si>
  <si>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</si>
  <si>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</si>
  <si>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</si>
  <si>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</si>
  <si>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</si>
  <si>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</si>
  <si>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</si>
  <si>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</si>
  <si>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</si>
  <si>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</si>
  <si>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</si>
  <si>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</si>
  <si>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</si>
  <si>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</si>
  <si>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</si>
  <si>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</si>
  <si>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</si>
  <si>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</si>
  <si>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</si>
  <si>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</si>
  <si>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</si>
  <si>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</si>
  <si>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</si>
  <si>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</si>
  <si>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</si>
  <si>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</si>
  <si>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</si>
  <si>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</si>
  <si>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</si>
  <si>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（十九)住房保障支出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</si>
  <si>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</si>
  <si>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</si>
  <si>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</si>
  <si>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</si>
  <si>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</si>
  <si>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</si>
  <si>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</si>
  <si>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</si>
  <si>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</si>
  <si>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</si>
  <si>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</si>
  <si>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</si>
  <si>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</si>
  <si>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</si>
  <si>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</si>
  <si>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</si>
  <si>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</si>
  <si>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</si>
  <si>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</si>
  <si>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</si>
  <si>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(二十）粮油物资储备支出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</si>
  <si>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</si>
  <si>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</si>
  <si>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</si>
  <si>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</si>
  <si>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</si>
  <si>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</si>
  <si>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</si>
  <si>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</si>
  <si>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</si>
  <si>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</si>
  <si>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</si>
  <si>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</si>
  <si>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</si>
  <si>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</si>
  <si>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</si>
  <si>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</si>
  <si>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</si>
  <si>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</si>
  <si>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</si>
  <si>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</si>
  <si>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</si>
  <si>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</si>
  <si>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</si>
  <si>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</si>
  <si>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</si>
  <si>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</si>
  <si>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</si>
  <si>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</si>
  <si>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</si>
  <si>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</si>
  <si>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</si>
  <si>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</si>
  <si>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</si>
  <si>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</si>
  <si>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</si>
  <si>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</si>
  <si>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</si>
  <si>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</si>
  <si>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</si>
  <si>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</si>
  <si>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（二十一）灾害防治及应急管理支出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</si>
  <si>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</si>
  <si>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</si>
  <si>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</si>
  <si>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</si>
  <si>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</si>
  <si>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</si>
  <si>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</si>
  <si>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</si>
  <si>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</si>
  <si>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</si>
  <si>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</si>
  <si>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森林消防事务</t>
  </si>
  <si>
    <t xml:space="preserve">     森林消防应急救援</t>
  </si>
  <si>
    <t xml:space="preserve">     其他森林消防事务支出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</si>
  <si>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</si>
  <si>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</si>
  <si>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</si>
  <si>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</si>
  <si>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</si>
  <si>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</si>
  <si>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</si>
  <si>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</si>
  <si>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</si>
  <si>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</si>
  <si>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</si>
  <si>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</si>
  <si>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</si>
  <si>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</si>
  <si>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</si>
  <si>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</si>
  <si>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</si>
  <si>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</si>
  <si>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</si>
  <si>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</si>
  <si>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</si>
  <si>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</si>
  <si>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</si>
  <si>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</si>
  <si>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（二十二）其他支出</t>
  </si>
  <si>
    <t xml:space="preserve">    年初预留</t>
  </si>
  <si>
    <t xml:space="preserve">  （二十三）债务付息支出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</si>
  <si>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</si>
  <si>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</si>
  <si>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</si>
  <si>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</si>
  <si>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</si>
  <si>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</si>
  <si>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</si>
  <si>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（二十四）债务发行费用支出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</si>
  <si>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</si>
  <si>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</si>
  <si>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</si>
  <si>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附件2-3</t>
  </si>
  <si>
    <t>东方市2024年政府性基金预算收支调整表</t>
  </si>
  <si>
    <t>收入</t>
  </si>
  <si>
    <t>支出</t>
  </si>
  <si>
    <t>一、地方政府性基金预算收入</t>
  </si>
  <si>
    <t>一、地方政府性基金预算支出</t>
  </si>
  <si>
    <t>（一）港口建设费收入</t>
  </si>
  <si>
    <t>（一）文化旅游体育与传媒支出</t>
  </si>
  <si>
    <t>（二）国有土地使用权出让收入</t>
  </si>
  <si>
    <t xml:space="preserve">  国家电影事业发展专项资金安排的支出</t>
  </si>
  <si>
    <t xml:space="preserve">  1.土地出让价款收入</t>
  </si>
  <si>
    <t xml:space="preserve">  旅游发展基金支出</t>
  </si>
  <si>
    <t xml:space="preserve">  2.补缴的土地价款</t>
  </si>
  <si>
    <t>（二）城乡社区支出</t>
  </si>
  <si>
    <t xml:space="preserve">  3.划拨土地收入</t>
  </si>
  <si>
    <t xml:space="preserve">  国有土地使用权出让收入安排的支出</t>
  </si>
  <si>
    <t xml:space="preserve">  4.缴纳新增建设用地土地有偿使用费</t>
  </si>
  <si>
    <t xml:space="preserve">  国有土地收益基金安排的支出</t>
  </si>
  <si>
    <t xml:space="preserve">  5.其他土地出让收入</t>
  </si>
  <si>
    <t xml:space="preserve">  农业土地开发资金安排的支出</t>
  </si>
  <si>
    <t>（三）国有土地收益基金收入</t>
  </si>
  <si>
    <t xml:space="preserve">  城市基础设施配套费安排的支出</t>
  </si>
  <si>
    <t>（四）农业土地开发资金收入</t>
  </si>
  <si>
    <t xml:space="preserve">  污水处理费安排的支出</t>
  </si>
  <si>
    <t>（五）城市基础设施配套费收入</t>
  </si>
  <si>
    <t xml:space="preserve">  土地储备专项债券收入安排的支出</t>
  </si>
  <si>
    <t>（六）污水处理费收入</t>
  </si>
  <si>
    <t xml:space="preserve">  棚户区改造专项债券收入安排的支出</t>
  </si>
  <si>
    <t>（七）彩票公益金收入</t>
  </si>
  <si>
    <t xml:space="preserve">  城市基础设施配套费对应专项债务收入安排的支出</t>
  </si>
  <si>
    <t xml:space="preserve">  1.福利彩票公益金收入</t>
  </si>
  <si>
    <t xml:space="preserve">  污水处理费对应专项债务收入安排的支出</t>
  </si>
  <si>
    <t xml:space="preserve">  2.体育彩票公益金收入</t>
  </si>
  <si>
    <t xml:space="preserve">  国有土地使用权出让收入对应专项债务收入安排的支出</t>
  </si>
  <si>
    <t>（八）彩票发行机构和彩票销售机构的业务费用</t>
  </si>
  <si>
    <t>（三）农林水支出</t>
  </si>
  <si>
    <t xml:space="preserve">  大中型水库库区基金安排的支出</t>
  </si>
  <si>
    <t xml:space="preserve">  国家重大水利工程建设基金安排的支出</t>
  </si>
  <si>
    <t xml:space="preserve">  大中型水库移民后期扶持基金支出</t>
  </si>
  <si>
    <t>（四）交通运输支出</t>
  </si>
  <si>
    <t xml:space="preserve">  海南省高等级公路车辆通行附加费安排的支出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</si>
  <si>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</si>
  <si>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</si>
  <si>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</t>
  </si>
  <si>
    <t>（五）其他支出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</si>
  <si>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</si>
  <si>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</si>
  <si>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</si>
  <si>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 xml:space="preserve">（六）地方政府专项债务付息支出  </t>
  </si>
  <si>
    <t xml:space="preserve">  海南省高等级公路车辆通行附加费债务付息支出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</si>
  <si>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</si>
  <si>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</si>
  <si>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</si>
  <si>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 xml:space="preserve">  其他地方自行试点项目收益专项债券付息支出</t>
  </si>
  <si>
    <t xml:space="preserve">  其他政府性基金债务付息支出</t>
  </si>
  <si>
    <t>（七）地方政府专项债务发行费用支出</t>
  </si>
  <si>
    <t xml:space="preserve">  海南省高等级公路车辆通行附加费债务发行费用支出</t>
  </si>
  <si>
    <t xml:space="preserve">  国有土地使用权出让金债务发行费用支出</t>
  </si>
  <si>
    <t xml:space="preserve">  土地储备专项债券发行费用支出</t>
  </si>
  <si>
    <t xml:space="preserve">  棚户区改造专项债券发行费用支出</t>
  </si>
  <si>
    <t xml:space="preserve">  其他地方自行试点项目收益专项债券发行费用支出</t>
  </si>
  <si>
    <t xml:space="preserve">  其他政府性基金债务发行费用支出</t>
  </si>
  <si>
    <t>二、转移性支出</t>
  </si>
  <si>
    <t>（一）政府性基金转移支付收入</t>
  </si>
  <si>
    <t>（一）政府性基金上解支出</t>
  </si>
  <si>
    <t>（二）地方政府专项债务转贷收入</t>
  </si>
  <si>
    <t>（二）调出资金</t>
  </si>
  <si>
    <t xml:space="preserve">  1.海南省高等级公路车辆通行附加费债务转贷收入</t>
  </si>
  <si>
    <t>（三）地方政府专项债务还本支出</t>
  </si>
  <si>
    <t xml:space="preserve">  2.国有土地使用权出让金债务转贷收入</t>
  </si>
  <si>
    <t xml:space="preserve">  1.海南省高等级公路车辆通行附加费债务还本支出</t>
  </si>
  <si>
    <t xml:space="preserve">  3.土地储备专项债券收入</t>
  </si>
  <si>
    <t xml:space="preserve">  2.国有土地使用权出让金债务还本支出</t>
  </si>
  <si>
    <t xml:space="preserve">  4.棚户区改造专项债券转贷收入</t>
  </si>
  <si>
    <t xml:space="preserve">  3.土地储备专项债券还本支出</t>
  </si>
  <si>
    <t xml:space="preserve">  5.其他地方自行试点项目收益专项债券转贷收入</t>
  </si>
  <si>
    <t xml:space="preserve">  4.棚户区改造专项债券还本支出</t>
  </si>
  <si>
    <t xml:space="preserve">  6.其他政府性基金债务转贷收入</t>
  </si>
  <si>
    <t xml:space="preserve">  5.其他地方自行试点项目收益专项债券还本支出</t>
  </si>
  <si>
    <t>（三）上年结余结转收入</t>
  </si>
  <si>
    <t xml:space="preserve">  6.其他政府性基金债务还本支出</t>
  </si>
  <si>
    <t>（四）年终结余结转</t>
  </si>
  <si>
    <t>附件2-4</t>
  </si>
  <si>
    <t>东方市2024年政府性基金预算支出功能科目明细表</t>
  </si>
  <si>
    <t>地方政府性基金支出</t>
  </si>
  <si>
    <t>一、212-城乡社区支出</t>
  </si>
  <si>
    <t xml:space="preserve">    21208-国有土地使用权出让收入安排的支出</t>
  </si>
  <si>
    <t xml:space="preserve">      2120801-征地和拆迁补偿支出</t>
  </si>
  <si>
    <t xml:space="preserve">      2120803-城市建设支出</t>
  </si>
  <si>
    <t xml:space="preserve">      2120804-农村基础设施建设支出</t>
  </si>
  <si>
    <t xml:space="preserve">      2120805-补助被征地农民支出</t>
  </si>
  <si>
    <t xml:space="preserve">      2120814-农业生产发展支出</t>
  </si>
  <si>
    <t xml:space="preserve">      2120815-农村社会事业支出</t>
  </si>
  <si>
    <t xml:space="preserve">      2120816-农业农村生态环境支出</t>
  </si>
  <si>
    <t xml:space="preserve">      2120899-其他国有土地使用权出让收入安排的支出</t>
  </si>
  <si>
    <t xml:space="preserve">    21210-国有土地收益基金安排的支出</t>
  </si>
  <si>
    <t xml:space="preserve">      2121001-征地和拆迁补偿支出</t>
  </si>
  <si>
    <t xml:space="preserve">      2121099-其他国有土地收益基金支出</t>
  </si>
  <si>
    <t xml:space="preserve">    21211-农业土地开发资金安排的支出</t>
  </si>
  <si>
    <t xml:space="preserve">    21213-城市基础设施配套费安排的支出</t>
  </si>
  <si>
    <t xml:space="preserve">      2121301-城市公共设施</t>
  </si>
  <si>
    <t xml:space="preserve">      2121302-城市环境卫生</t>
  </si>
  <si>
    <t xml:space="preserve">      2121399-其他城市基础设施配套费安排的支出</t>
  </si>
  <si>
    <t xml:space="preserve">    21214-污水处理费收入安排的支出</t>
  </si>
  <si>
    <t xml:space="preserve">      2121401-污水处理设施建设和运营</t>
  </si>
  <si>
    <t xml:space="preserve">    21216-棚户区改造专项债券收入安排的支出</t>
  </si>
  <si>
    <t xml:space="preserve">      2121699-其他棚户区改造专项债券收入安排的支出</t>
  </si>
  <si>
    <t>二、213-农林水支出</t>
  </si>
  <si>
    <t xml:space="preserve">    21369-国家重大水利工程建设基金安排的支出</t>
  </si>
  <si>
    <t xml:space="preserve">      2136999-其他重大水利工程建设基金支出</t>
  </si>
  <si>
    <t xml:space="preserve">    21372-大中型水库移民后期扶持基金支出</t>
  </si>
  <si>
    <t xml:space="preserve">      2137201-移民补助</t>
  </si>
  <si>
    <t xml:space="preserve">      2137202-基础设施建设和经济发展</t>
  </si>
  <si>
    <t>三、229-其他支出</t>
  </si>
  <si>
    <t xml:space="preserve">    22904-其他政府性基金及对应专项债务收入安排的支出</t>
  </si>
  <si>
    <t xml:space="preserve">      2290402-其他地方自行试点项目收益专项债券收入安排的支出</t>
  </si>
  <si>
    <t xml:space="preserve">    22908-彩票发行销售机构业务费安排的支出</t>
  </si>
  <si>
    <t xml:space="preserve">      2290804-福利彩票销售机构的业务费支出</t>
  </si>
  <si>
    <t xml:space="preserve">    22960-彩票公益金安排的支出</t>
  </si>
  <si>
    <t xml:space="preserve">      2296002-用于社会福利的彩票公益金支出</t>
  </si>
  <si>
    <t xml:space="preserve">      2296003-用于体育事业的彩票公益金支出</t>
  </si>
  <si>
    <t xml:space="preserve">      2296004-用于教育事业的彩票公益金支出</t>
  </si>
  <si>
    <t xml:space="preserve">      2266006-用于残疾人事业的彩票公益金支出</t>
  </si>
  <si>
    <t>四、232-债务付息支出</t>
  </si>
  <si>
    <t xml:space="preserve">    23204-地方政府专项债务付息支出</t>
  </si>
  <si>
    <t xml:space="preserve">     2320411-国有土地使用权出让金债务付息支出</t>
  </si>
  <si>
    <t xml:space="preserve">     2320433-棚户区改造专项债券付息支出</t>
  </si>
  <si>
    <t xml:space="preserve">     2320498-其他地方自行试点项目收益专项债券付息支出</t>
  </si>
  <si>
    <t>五、233-债务发行费用支出</t>
  </si>
  <si>
    <t xml:space="preserve">    23304-地方政府专项债务发行费用支出</t>
  </si>
  <si>
    <t xml:space="preserve">      2330411-国有土地使用权出让金债务发行费用支出</t>
  </si>
  <si>
    <t xml:space="preserve">      2330433-棚户区改造专项债券发行费用支出</t>
  </si>
  <si>
    <t xml:space="preserve">      2330498-其他地方自行试点项目收益专项债务发行费用支出</t>
  </si>
  <si>
    <t>转移性支出</t>
  </si>
  <si>
    <t>（一）23104-地方政府专项债务还本支出</t>
  </si>
  <si>
    <t xml:space="preserve">      2310411-国有土地使用权出让金债务还本支出</t>
  </si>
  <si>
    <t xml:space="preserve">      2310498-其他地方自行试点项目收益专项债券还本支出</t>
  </si>
  <si>
    <t xml:space="preserve">      2310499-其他政府性基金债务还本支出</t>
  </si>
  <si>
    <t>（三）年终结余结转</t>
  </si>
  <si>
    <t>附件2-5</t>
  </si>
  <si>
    <t>东方市2024年再融资专项债券分配表</t>
  </si>
  <si>
    <t>序号</t>
  </si>
  <si>
    <t>预算单位</t>
  </si>
  <si>
    <t>项目名称</t>
  </si>
  <si>
    <t>分配金额</t>
  </si>
  <si>
    <t>406006-东方市房屋征收服务中心</t>
  </si>
  <si>
    <t>46900721T000000138334-东方市滨海片区（一期)棚户区改造项目</t>
  </si>
  <si>
    <t>406002-东方市住房保障与房产管理中心</t>
  </si>
  <si>
    <t>46900722T000000168430-东方市新安家园保障性住房项目（二期）</t>
  </si>
  <si>
    <t>207001-东方市水务局</t>
  </si>
  <si>
    <t>46900725T000001449241-东方市污水处理厂改扩建工程</t>
  </si>
  <si>
    <t>146001-东方市旅游和文化广电体育局</t>
  </si>
  <si>
    <t>46900723T000001189038-东方市文化广场EPC总承包工程</t>
  </si>
  <si>
    <t xml:space="preserve">46900725T000001508883-东方市文化广场临时物业管理服务费 </t>
  </si>
  <si>
    <t>403001-东方市自然资源和规划局</t>
  </si>
  <si>
    <t>46900725T000001464326-东方西海岸边贸旅游及市政建设填海项目</t>
  </si>
  <si>
    <t>46900721T000000016941-东方市与海垦投资控股集团合作实施项目资金</t>
  </si>
  <si>
    <t xml:space="preserve">46900722T000000167062-东方市感城镇宝上村任道田旱改水土地整治项目 </t>
  </si>
  <si>
    <t xml:space="preserve">46900722T000000167709-东方市感城镇入学村北边沟耕地开垦项目 </t>
  </si>
  <si>
    <t>46900721T000000016937-东方市三家镇代鸠村冲罗耕地开垦项目</t>
  </si>
  <si>
    <t xml:space="preserve">46900725T000001506074-东方市城镇供水管道建设项目 </t>
  </si>
  <si>
    <t xml:space="preserve">46900725T000001506080-东方市城镇污水管网收集处理项目 </t>
  </si>
  <si>
    <t>402001-东方市交通运输局</t>
  </si>
  <si>
    <t>46900722T000000154182-东方市金月湾基础设施PPP项目包</t>
  </si>
  <si>
    <t xml:space="preserve">46900723T000001229564-八所港新港区5万吨级航道维护疏浚工程 </t>
  </si>
  <si>
    <t>310002-东方市人民医院（东方市医疗健康集团总医院）</t>
  </si>
  <si>
    <t xml:space="preserve">46900721T000000131684-东方医院创三甲发展建设项目一期工程 </t>
  </si>
  <si>
    <t>143001-东方市教育局</t>
  </si>
  <si>
    <t xml:space="preserve">46900725T000001506019-东方市铁路中学高中部建设项目 </t>
  </si>
  <si>
    <t xml:space="preserve">46900725T000001505990-东方市幼儿园基础设施建设及设备购置项目 </t>
  </si>
  <si>
    <t xml:space="preserve">46900725T000001505993-东方市高中基础设施建设及设备购置项目 </t>
  </si>
  <si>
    <t>143002-东方市八所中学</t>
  </si>
  <si>
    <t xml:space="preserve">46900725T000001506022-新建教学楼综合楼项目 </t>
  </si>
  <si>
    <t>143034-东方市铁路中学</t>
  </si>
  <si>
    <t>143063-西南大学东方实验中学</t>
  </si>
  <si>
    <t>143004-东方市民族中学</t>
  </si>
  <si>
    <t>143012-东方市琼西中学</t>
  </si>
  <si>
    <t>143043-东方市东方中学</t>
  </si>
  <si>
    <t>合计</t>
  </si>
  <si>
    <t>附件2-6</t>
  </si>
  <si>
    <t>东方市2024年地方政府债务限额调整情况表</t>
  </si>
  <si>
    <t>项目</t>
  </si>
  <si>
    <t>公  式</t>
  </si>
  <si>
    <t>本地区</t>
  </si>
  <si>
    <t>本级</t>
  </si>
  <si>
    <t>下级</t>
  </si>
  <si>
    <t>一、2023年地方政府债务限额</t>
  </si>
  <si>
    <t>A=B+C</t>
  </si>
  <si>
    <t>其中： 一般债务限额</t>
  </si>
  <si>
    <t>B</t>
  </si>
  <si>
    <t xml:space="preserve">      专项债务限额</t>
  </si>
  <si>
    <t>C</t>
  </si>
  <si>
    <t>二、2024年新增地方政府债务限额</t>
  </si>
  <si>
    <t>D=E+F</t>
  </si>
  <si>
    <t>E</t>
  </si>
  <si>
    <t>F</t>
  </si>
  <si>
    <t xml:space="preserve"> 附：提前下达的2024年新增地方政府债务限额</t>
  </si>
  <si>
    <t>G=H+I</t>
  </si>
  <si>
    <t xml:space="preserve">  其中： 一般债务限额</t>
  </si>
  <si>
    <t>H</t>
  </si>
  <si>
    <t xml:space="preserve">        专项债务限额</t>
  </si>
  <si>
    <t>I</t>
  </si>
  <si>
    <t>三、2024年地方政府债务限额</t>
  </si>
  <si>
    <t>J=K+L</t>
  </si>
  <si>
    <t>K</t>
  </si>
  <si>
    <t>L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</si>
</sst>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177" formatCode="#,##0_ ;[Red]\-#,##0\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_ "/>
    <numFmt numFmtId="179" formatCode="#,##0.0_ "/>
    <numFmt numFmtId="180" formatCode="0.0%"/>
    <numFmt numFmtId="181" formatCode="#,##0_ "/>
  </numFmts>
  <fonts count="50">
    <font>
      <sz val="12"/>
      <name val="宋体"/>
      <charset val="134"/>
    </font>
    <font>
      <sz val="12"/>
      <name val="黑体"/>
      <family val="3"/>
      <charset val="134"/>
    </font>
    <font>
      <sz val="11"/>
      <color indexed="8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Trebuchet MS"/>
      <charset val="134"/>
    </font>
    <font>
      <b/>
      <sz val="18"/>
      <color theme="1"/>
      <name val="黑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黑体"/>
      <charset val="134"/>
    </font>
    <font>
      <sz val="12"/>
      <name val="宋体"/>
      <charset val="134"/>
      <scheme val="major"/>
    </font>
    <font>
      <b/>
      <sz val="18"/>
      <name val="Trebuchet MS"/>
      <charset val="134"/>
    </font>
    <font>
      <sz val="11"/>
      <name val="Trebuchet MS"/>
      <charset val="134"/>
    </font>
    <font>
      <b/>
      <sz val="10"/>
      <name val="宋体"/>
      <charset val="134"/>
      <scheme val="major"/>
    </font>
    <font>
      <sz val="10"/>
      <name val="Trebuchet MS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8" fillId="19" borderId="1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0" fillId="0" borderId="0">
      <alignment vertical="center" wrapText="1"/>
    </xf>
    <xf numFmtId="41" fontId="27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18" borderId="9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3" borderId="8" applyNumberFormat="0" applyAlignment="0" applyProtection="0">
      <alignment vertical="center"/>
    </xf>
    <xf numFmtId="0" fontId="39" fillId="13" borderId="10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0" borderId="0"/>
    <xf numFmtId="0" fontId="29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/>
    <xf numFmtId="0" fontId="34" fillId="1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0" fillId="0" borderId="0"/>
    <xf numFmtId="0" fontId="29" fillId="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/>
    <xf numFmtId="0" fontId="41" fillId="0" borderId="0">
      <alignment vertical="center"/>
    </xf>
    <xf numFmtId="0" fontId="0" fillId="0" borderId="0">
      <alignment vertical="center" wrapText="1"/>
    </xf>
    <xf numFmtId="0" fontId="0" fillId="0" borderId="0">
      <alignment vertical="center" wrapText="1"/>
    </xf>
    <xf numFmtId="0" fontId="0" fillId="0" borderId="0">
      <alignment vertical="center"/>
    </xf>
    <xf numFmtId="0" fontId="28" fillId="0" borderId="0"/>
    <xf numFmtId="0" fontId="49" fillId="0" borderId="0"/>
  </cellStyleXfs>
  <cellXfs count="211">
    <xf numFmtId="0" fontId="0" fillId="0" borderId="0" xfId="0"/>
    <xf numFmtId="0" fontId="0" fillId="0" borderId="0" xfId="0" applyFill="1" applyBorder="1" applyAlignment="1"/>
    <xf numFmtId="0" fontId="1" fillId="0" borderId="0" xfId="64" applyFont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49" fontId="8" fillId="0" borderId="0" xfId="60" applyNumberFormat="1" applyFont="1" applyFill="1" applyBorder="1" applyAlignment="1">
      <alignment vertical="center" wrapText="1"/>
    </xf>
    <xf numFmtId="181" fontId="8" fillId="0" borderId="0" xfId="60" applyNumberFormat="1" applyFont="1" applyFill="1" applyBorder="1" applyAlignment="1">
      <alignment horizontal="right" vertical="center" wrapText="1"/>
    </xf>
    <xf numFmtId="181" fontId="14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 wrapText="1"/>
    </xf>
    <xf numFmtId="1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181" fontId="16" fillId="0" borderId="0" xfId="0" applyNumberFormat="1" applyFont="1" applyFill="1" applyBorder="1" applyAlignment="1" applyProtection="1">
      <alignment horizontal="right" vertical="center" wrapText="1"/>
    </xf>
    <xf numFmtId="180" fontId="10" fillId="0" borderId="0" xfId="0" applyNumberFormat="1" applyFont="1" applyFill="1" applyAlignment="1" applyProtection="1">
      <alignment horizontal="right" vertical="center" wrapText="1"/>
      <protection locked="0"/>
    </xf>
    <xf numFmtId="10" fontId="10" fillId="0" borderId="0" xfId="0" applyNumberFormat="1" applyFont="1" applyFill="1" applyAlignment="1" applyProtection="1">
      <alignment horizontal="right" vertical="center" wrapText="1"/>
      <protection locked="0"/>
    </xf>
    <xf numFmtId="0" fontId="17" fillId="0" borderId="1" xfId="60" applyFont="1" applyFill="1" applyBorder="1" applyAlignment="1" applyProtection="1">
      <alignment horizontal="center" vertical="center" wrapText="1"/>
      <protection locked="0"/>
    </xf>
    <xf numFmtId="181" fontId="17" fillId="0" borderId="1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81" fontId="18" fillId="0" borderId="1" xfId="0" applyNumberFormat="1" applyFont="1" applyFill="1" applyBorder="1" applyAlignment="1" applyProtection="1">
      <alignment horizontal="right" vertical="center" wrapText="1"/>
    </xf>
    <xf numFmtId="181" fontId="17" fillId="0" borderId="1" xfId="0" applyNumberFormat="1" applyFont="1" applyFill="1" applyBorder="1" applyAlignment="1">
      <alignment horizontal="right" vertical="center" wrapText="1"/>
    </xf>
    <xf numFmtId="10" fontId="17" fillId="0" borderId="1" xfId="0" applyNumberFormat="1" applyFont="1" applyBorder="1" applyAlignment="1">
      <alignment vertical="center"/>
    </xf>
    <xf numFmtId="3" fontId="17" fillId="0" borderId="1" xfId="0" applyNumberFormat="1" applyFont="1" applyFill="1" applyBorder="1" applyAlignment="1" applyProtection="1">
      <alignment vertical="center" wrapText="1"/>
    </xf>
    <xf numFmtId="181" fontId="17" fillId="0" borderId="1" xfId="0" applyNumberFormat="1" applyFont="1" applyFill="1" applyBorder="1" applyAlignment="1" applyProtection="1">
      <alignment horizontal="right" vertical="center" wrapText="1"/>
    </xf>
    <xf numFmtId="181" fontId="19" fillId="0" borderId="1" xfId="0" applyNumberFormat="1" applyFont="1" applyFill="1" applyBorder="1" applyAlignment="1" applyProtection="1">
      <alignment vertical="center"/>
    </xf>
    <xf numFmtId="181" fontId="10" fillId="0" borderId="1" xfId="0" applyNumberFormat="1" applyFont="1" applyFill="1" applyBorder="1" applyAlignment="1">
      <alignment horizontal="right" vertical="center" wrapText="1"/>
    </xf>
    <xf numFmtId="181" fontId="20" fillId="0" borderId="1" xfId="0" applyNumberFormat="1" applyFont="1" applyFill="1" applyBorder="1" applyAlignment="1" applyProtection="1">
      <alignment horizontal="right" vertical="center"/>
      <protection locked="0"/>
    </xf>
    <xf numFmtId="10" fontId="10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 applyProtection="1">
      <alignment vertical="center" wrapText="1"/>
    </xf>
    <xf numFmtId="181" fontId="10" fillId="0" borderId="1" xfId="0" applyNumberFormat="1" applyFont="1" applyFill="1" applyBorder="1" applyAlignment="1" applyProtection="1">
      <alignment horizontal="right" vertical="center" wrapText="1"/>
    </xf>
    <xf numFmtId="181" fontId="20" fillId="0" borderId="1" xfId="0" applyNumberFormat="1" applyFont="1" applyFill="1" applyBorder="1" applyAlignment="1" applyProtection="1">
      <alignment vertical="center"/>
      <protection locked="0"/>
    </xf>
    <xf numFmtId="181" fontId="20" fillId="0" borderId="1" xfId="0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>
      <alignment horizontal="left" vertical="center" wrapText="1"/>
    </xf>
    <xf numFmtId="181" fontId="19" fillId="0" borderId="1" xfId="0" applyNumberFormat="1" applyFont="1" applyFill="1" applyBorder="1" applyAlignment="1" applyProtection="1">
      <alignment vertical="center"/>
      <protection locked="0"/>
    </xf>
    <xf numFmtId="0" fontId="17" fillId="0" borderId="1" xfId="58" applyFont="1" applyFill="1" applyBorder="1" applyAlignment="1">
      <alignment vertical="center" wrapText="1"/>
    </xf>
    <xf numFmtId="181" fontId="17" fillId="0" borderId="1" xfId="58" applyNumberFormat="1" applyFont="1" applyFill="1" applyBorder="1" applyAlignment="1">
      <alignment horizontal="right" vertical="center" wrapText="1"/>
    </xf>
    <xf numFmtId="0" fontId="10" fillId="0" borderId="1" xfId="58" applyFont="1" applyFill="1" applyBorder="1" applyAlignment="1">
      <alignment vertical="center" wrapText="1"/>
    </xf>
    <xf numFmtId="181" fontId="10" fillId="0" borderId="1" xfId="58" applyNumberFormat="1" applyFont="1" applyFill="1" applyBorder="1" applyAlignment="1">
      <alignment horizontal="right" vertical="center" wrapText="1"/>
    </xf>
    <xf numFmtId="181" fontId="19" fillId="0" borderId="1" xfId="0" applyNumberFormat="1" applyFont="1" applyFill="1" applyBorder="1" applyAlignment="1" applyProtection="1">
      <alignment horizontal="right" vertical="center"/>
      <protection locked="0"/>
    </xf>
    <xf numFmtId="3" fontId="17" fillId="0" borderId="1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</xf>
    <xf numFmtId="181" fontId="17" fillId="0" borderId="1" xfId="60" applyNumberFormat="1" applyFont="1" applyFill="1" applyBorder="1" applyAlignment="1" applyProtection="1">
      <alignment horizontal="right" vertical="center" wrapText="1"/>
      <protection locked="0"/>
    </xf>
    <xf numFmtId="177" fontId="17" fillId="0" borderId="1" xfId="0" applyNumberFormat="1" applyFont="1" applyFill="1" applyBorder="1" applyAlignment="1">
      <alignment vertical="center" wrapText="1"/>
    </xf>
    <xf numFmtId="0" fontId="17" fillId="0" borderId="1" xfId="61" applyFont="1" applyFill="1" applyBorder="1" applyAlignment="1" applyProtection="1">
      <alignment horizontal="left" vertical="center" wrapText="1"/>
      <protection locked="0"/>
    </xf>
    <xf numFmtId="181" fontId="17" fillId="0" borderId="1" xfId="6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3" fontId="17" fillId="0" borderId="1" xfId="61" applyNumberFormat="1" applyFont="1" applyFill="1" applyBorder="1" applyAlignment="1">
      <alignment horizontal="left" vertical="center" wrapText="1"/>
    </xf>
    <xf numFmtId="181" fontId="17" fillId="0" borderId="1" xfId="61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181" fontId="0" fillId="0" borderId="0" xfId="0" applyNumberFormat="1" applyFont="1" applyFill="1" applyBorder="1" applyAlignment="1"/>
    <xf numFmtId="0" fontId="0" fillId="0" borderId="0" xfId="0" applyFill="1" applyBorder="1" applyAlignment="1">
      <alignment wrapText="1"/>
    </xf>
    <xf numFmtId="181" fontId="0" fillId="0" borderId="0" xfId="0" applyNumberFormat="1" applyFill="1" applyBorder="1" applyAlignment="1"/>
    <xf numFmtId="181" fontId="0" fillId="0" borderId="0" xfId="60" applyNumberFormat="1" applyFill="1" applyBorder="1" applyAlignment="1">
      <alignment horizontal="center" vertical="center" wrapText="1"/>
    </xf>
    <xf numFmtId="38" fontId="0" fillId="0" borderId="0" xfId="60" applyNumberFormat="1" applyFill="1" applyBorder="1" applyAlignment="1">
      <alignment horizontal="center" vertical="center" wrapText="1"/>
    </xf>
    <xf numFmtId="181" fontId="0" fillId="0" borderId="0" xfId="60" applyNumberFormat="1" applyFont="1" applyFill="1" applyAlignment="1">
      <alignment horizontal="center" vertical="center" wrapText="1"/>
    </xf>
    <xf numFmtId="38" fontId="0" fillId="0" borderId="0" xfId="60" applyNumberFormat="1" applyFill="1" applyAlignment="1">
      <alignment horizontal="center" vertical="center" wrapText="1"/>
    </xf>
    <xf numFmtId="179" fontId="0" fillId="0" borderId="0" xfId="60" applyNumberFormat="1" applyFill="1" applyBorder="1" applyAlignment="1">
      <alignment horizontal="center" vertical="center" wrapText="1"/>
    </xf>
    <xf numFmtId="0" fontId="21" fillId="0" borderId="0" xfId="60" applyFont="1" applyFill="1" applyBorder="1" applyAlignment="1">
      <alignment horizontal="center" vertical="center"/>
    </xf>
    <xf numFmtId="181" fontId="21" fillId="0" borderId="0" xfId="60" applyNumberFormat="1" applyFont="1" applyFill="1" applyBorder="1" applyAlignment="1">
      <alignment horizontal="center" vertical="center"/>
    </xf>
    <xf numFmtId="181" fontId="21" fillId="0" borderId="0" xfId="60" applyNumberFormat="1" applyFont="1" applyFill="1" applyAlignment="1">
      <alignment horizontal="center" vertical="center"/>
    </xf>
    <xf numFmtId="0" fontId="21" fillId="0" borderId="0" xfId="60" applyFont="1" applyFill="1" applyAlignment="1">
      <alignment horizontal="center" vertical="center"/>
    </xf>
    <xf numFmtId="58" fontId="8" fillId="0" borderId="0" xfId="52" applyNumberFormat="1" applyFont="1" applyFill="1" applyBorder="1" applyAlignment="1">
      <alignment horizontal="left" vertical="center"/>
    </xf>
    <xf numFmtId="181" fontId="8" fillId="0" borderId="0" xfId="52" applyNumberFormat="1" applyFont="1" applyFill="1" applyBorder="1" applyAlignment="1">
      <alignment horizontal="center" vertical="center"/>
    </xf>
    <xf numFmtId="38" fontId="8" fillId="0" borderId="0" xfId="52" applyNumberFormat="1" applyFont="1" applyFill="1" applyBorder="1" applyAlignment="1">
      <alignment horizontal="center" vertical="center"/>
    </xf>
    <xf numFmtId="181" fontId="8" fillId="0" borderId="0" xfId="52" applyNumberFormat="1" applyFont="1" applyFill="1" applyAlignment="1">
      <alignment horizontal="center" vertical="center"/>
    </xf>
    <xf numFmtId="38" fontId="8" fillId="0" borderId="0" xfId="52" applyNumberFormat="1" applyFont="1" applyFill="1" applyAlignment="1">
      <alignment horizontal="center" vertical="center"/>
    </xf>
    <xf numFmtId="179" fontId="8" fillId="0" borderId="0" xfId="52" applyNumberFormat="1" applyFont="1" applyFill="1" applyBorder="1" applyAlignment="1">
      <alignment horizontal="center" vertical="center"/>
    </xf>
    <xf numFmtId="0" fontId="17" fillId="0" borderId="1" xfId="60" applyFont="1" applyFill="1" applyBorder="1" applyAlignment="1" applyProtection="1">
      <alignment horizontal="center" vertical="center"/>
      <protection locked="0"/>
    </xf>
    <xf numFmtId="181" fontId="17" fillId="0" borderId="1" xfId="60" applyNumberFormat="1" applyFont="1" applyFill="1" applyBorder="1" applyAlignment="1" applyProtection="1">
      <alignment horizontal="center" vertical="center"/>
      <protection locked="0"/>
    </xf>
    <xf numFmtId="0" fontId="17" fillId="0" borderId="4" xfId="60" applyFont="1" applyFill="1" applyBorder="1" applyAlignment="1" applyProtection="1">
      <alignment horizontal="center" vertical="center"/>
      <protection locked="0"/>
    </xf>
    <xf numFmtId="177" fontId="17" fillId="0" borderId="4" xfId="0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0" fontId="17" fillId="0" borderId="5" xfId="60" applyFont="1" applyFill="1" applyBorder="1" applyAlignment="1" applyProtection="1">
      <alignment horizontal="center" vertical="center"/>
      <protection locked="0"/>
    </xf>
    <xf numFmtId="177" fontId="17" fillId="0" borderId="5" xfId="0" applyNumberFormat="1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vertical="center" wrapText="1"/>
    </xf>
    <xf numFmtId="180" fontId="17" fillId="0" borderId="1" xfId="52" applyNumberFormat="1" applyFont="1" applyFill="1" applyBorder="1" applyAlignment="1">
      <alignment horizontal="right" vertical="center"/>
    </xf>
    <xf numFmtId="0" fontId="17" fillId="0" borderId="1" xfId="60" applyFont="1" applyFill="1" applyBorder="1" applyAlignment="1">
      <alignment vertical="center" wrapText="1"/>
    </xf>
    <xf numFmtId="0" fontId="17" fillId="0" borderId="1" xfId="6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vertical="center"/>
    </xf>
    <xf numFmtId="181" fontId="10" fillId="0" borderId="1" xfId="0" applyNumberFormat="1" applyFont="1" applyFill="1" applyBorder="1" applyAlignment="1">
      <alignment vertical="center" wrapText="1"/>
    </xf>
    <xf numFmtId="180" fontId="10" fillId="0" borderId="1" xfId="5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0" fontId="10" fillId="0" borderId="1" xfId="60" applyFont="1" applyFill="1" applyBorder="1" applyAlignment="1">
      <alignment vertical="center" wrapText="1"/>
    </xf>
    <xf numFmtId="181" fontId="10" fillId="0" borderId="1" xfId="60" applyNumberFormat="1" applyFont="1" applyFill="1" applyBorder="1" applyAlignment="1">
      <alignment horizontal="right" vertical="center"/>
    </xf>
    <xf numFmtId="181" fontId="17" fillId="0" borderId="1" xfId="52" applyNumberFormat="1" applyFont="1" applyFill="1" applyBorder="1" applyAlignment="1">
      <alignment vertical="center"/>
    </xf>
    <xf numFmtId="181" fontId="10" fillId="0" borderId="1" xfId="52" applyNumberFormat="1" applyFont="1" applyFill="1" applyBorder="1" applyAlignment="1">
      <alignment horizontal="right" vertical="center"/>
    </xf>
    <xf numFmtId="0" fontId="10" fillId="0" borderId="1" xfId="55" applyFont="1" applyFill="1" applyBorder="1" applyAlignment="1">
      <alignment vertical="center"/>
    </xf>
    <xf numFmtId="181" fontId="10" fillId="0" borderId="1" xfId="55" applyNumberFormat="1" applyFont="1" applyFill="1" applyBorder="1" applyAlignment="1">
      <alignment horizontal="right" vertical="center"/>
    </xf>
    <xf numFmtId="181" fontId="10" fillId="0" borderId="1" xfId="61" applyNumberFormat="1" applyFont="1" applyFill="1" applyBorder="1" applyAlignment="1">
      <alignment horizontal="right" vertical="center"/>
    </xf>
    <xf numFmtId="0" fontId="10" fillId="0" borderId="1" xfId="61" applyFont="1" applyFill="1" applyBorder="1" applyAlignment="1">
      <alignment vertical="center" wrapText="1"/>
    </xf>
    <xf numFmtId="10" fontId="10" fillId="0" borderId="1" xfId="60" applyNumberFormat="1" applyFont="1" applyFill="1" applyBorder="1" applyAlignment="1">
      <alignment horizontal="right" vertical="center"/>
    </xf>
    <xf numFmtId="3" fontId="17" fillId="0" borderId="1" xfId="60" applyNumberFormat="1" applyFont="1" applyFill="1" applyBorder="1" applyAlignment="1">
      <alignment vertical="center"/>
    </xf>
    <xf numFmtId="0" fontId="17" fillId="0" borderId="1" xfId="61" applyFont="1" applyFill="1" applyBorder="1" applyAlignment="1" applyProtection="1">
      <alignment horizontal="left" vertical="center"/>
      <protection locked="0"/>
    </xf>
    <xf numFmtId="0" fontId="10" fillId="0" borderId="1" xfId="59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vertical="center" wrapText="1"/>
    </xf>
    <xf numFmtId="0" fontId="0" fillId="0" borderId="0" xfId="60" applyFill="1" applyBorder="1" applyAlignment="1">
      <alignment vertical="center" wrapText="1"/>
    </xf>
    <xf numFmtId="181" fontId="0" fillId="0" borderId="0" xfId="60" applyNumberFormat="1" applyFill="1" applyAlignment="1">
      <alignment horizontal="center" vertical="center" wrapText="1"/>
    </xf>
    <xf numFmtId="0" fontId="21" fillId="0" borderId="0" xfId="60" applyFont="1" applyFill="1" applyBorder="1" applyAlignment="1">
      <alignment horizontal="center" vertical="center" wrapText="1"/>
    </xf>
    <xf numFmtId="0" fontId="8" fillId="0" borderId="0" xfId="60" applyFont="1" applyFill="1" applyBorder="1" applyAlignment="1" applyProtection="1">
      <alignment vertical="center" wrapText="1"/>
      <protection locked="0"/>
    </xf>
    <xf numFmtId="38" fontId="8" fillId="0" borderId="0" xfId="60" applyNumberFormat="1" applyFont="1" applyFill="1" applyBorder="1" applyAlignment="1">
      <alignment horizontal="center" vertical="center" wrapText="1"/>
    </xf>
    <xf numFmtId="181" fontId="8" fillId="0" borderId="0" xfId="60" applyNumberFormat="1" applyFont="1" applyFill="1" applyAlignment="1">
      <alignment horizontal="center" vertical="center" wrapText="1"/>
    </xf>
    <xf numFmtId="38" fontId="8" fillId="0" borderId="0" xfId="60" applyNumberFormat="1" applyFont="1" applyFill="1" applyAlignment="1">
      <alignment horizontal="center" vertical="center" wrapText="1"/>
    </xf>
    <xf numFmtId="181" fontId="10" fillId="0" borderId="0" xfId="51" applyNumberFormat="1" applyFont="1" applyFill="1" applyBorder="1" applyAlignment="1">
      <alignment horizontal="right"/>
    </xf>
    <xf numFmtId="179" fontId="10" fillId="0" borderId="0" xfId="51" applyNumberFormat="1" applyFont="1" applyFill="1" applyBorder="1" applyAlignment="1">
      <alignment horizontal="right"/>
    </xf>
    <xf numFmtId="0" fontId="17" fillId="0" borderId="4" xfId="60" applyFont="1" applyFill="1" applyBorder="1" applyAlignment="1" applyProtection="1">
      <alignment horizontal="center" vertical="center" wrapText="1"/>
      <protection locked="0"/>
    </xf>
    <xf numFmtId="0" fontId="17" fillId="0" borderId="5" xfId="60" applyFont="1" applyFill="1" applyBorder="1" applyAlignment="1" applyProtection="1">
      <alignment horizontal="center" vertical="center" wrapText="1"/>
      <protection locked="0"/>
    </xf>
    <xf numFmtId="0" fontId="17" fillId="0" borderId="1" xfId="5" applyFont="1" applyFill="1" applyBorder="1" applyAlignment="1" applyProtection="1">
      <alignment vertical="center"/>
      <protection locked="0"/>
    </xf>
    <xf numFmtId="0" fontId="0" fillId="0" borderId="1" xfId="0" applyFill="1" applyBorder="1" applyAlignment="1"/>
    <xf numFmtId="181" fontId="0" fillId="0" borderId="1" xfId="0" applyNumberFormat="1" applyFill="1" applyBorder="1" applyAlignment="1"/>
    <xf numFmtId="0" fontId="10" fillId="0" borderId="1" xfId="5" applyFont="1" applyFill="1" applyBorder="1" applyAlignment="1" applyProtection="1">
      <alignment vertical="center"/>
      <protection locked="0"/>
    </xf>
    <xf numFmtId="0" fontId="10" fillId="0" borderId="1" xfId="60" applyFont="1" applyFill="1" applyBorder="1" applyAlignment="1" applyProtection="1">
      <alignment vertical="center" wrapText="1"/>
      <protection locked="0"/>
    </xf>
    <xf numFmtId="0" fontId="17" fillId="0" borderId="1" xfId="5" applyFont="1" applyFill="1" applyBorder="1" applyAlignment="1" applyProtection="1">
      <alignment vertical="center" wrapText="1"/>
      <protection locked="0"/>
    </xf>
    <xf numFmtId="0" fontId="10" fillId="0" borderId="1" xfId="5" applyFont="1" applyFill="1" applyBorder="1" applyAlignment="1" applyProtection="1">
      <alignment vertical="center" wrapText="1"/>
      <protection locked="0"/>
    </xf>
    <xf numFmtId="181" fontId="17" fillId="0" borderId="1" xfId="52" applyNumberFormat="1" applyFont="1" applyFill="1" applyBorder="1" applyAlignment="1">
      <alignment horizontal="right" vertical="center"/>
    </xf>
    <xf numFmtId="0" fontId="22" fillId="0" borderId="1" xfId="60" applyFont="1" applyFill="1" applyBorder="1" applyAlignment="1">
      <alignment vertical="center" wrapText="1"/>
    </xf>
    <xf numFmtId="181" fontId="5" fillId="0" borderId="1" xfId="5" applyNumberFormat="1" applyFont="1" applyFill="1" applyBorder="1" applyAlignment="1" applyProtection="1">
      <alignment vertical="center" wrapText="1"/>
      <protection locked="0"/>
    </xf>
    <xf numFmtId="0" fontId="17" fillId="0" borderId="1" xfId="5" applyFont="1" applyFill="1" applyBorder="1" applyAlignment="1">
      <alignment vertical="center" wrapText="1"/>
    </xf>
    <xf numFmtId="181" fontId="17" fillId="0" borderId="1" xfId="61" applyNumberFormat="1" applyFont="1" applyFill="1" applyBorder="1" applyAlignment="1" applyProtection="1">
      <alignment vertical="center" wrapText="1"/>
      <protection locked="0"/>
    </xf>
    <xf numFmtId="181" fontId="10" fillId="0" borderId="1" xfId="1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81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62" applyFont="1" applyFill="1" applyBorder="1" applyAlignment="1">
      <alignment vertical="center" wrapText="1"/>
    </xf>
    <xf numFmtId="180" fontId="14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181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181" fontId="20" fillId="0" borderId="6" xfId="0" applyNumberFormat="1" applyFont="1" applyFill="1" applyBorder="1" applyAlignment="1">
      <alignment horizontal="right" vertical="center" wrapText="1"/>
    </xf>
    <xf numFmtId="180" fontId="20" fillId="0" borderId="6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vertical="center" wrapText="1"/>
    </xf>
    <xf numFmtId="176" fontId="19" fillId="0" borderId="1" xfId="0" applyNumberFormat="1" applyFont="1" applyFill="1" applyBorder="1" applyAlignment="1" applyProtection="1">
      <alignment vertical="center" wrapText="1"/>
    </xf>
    <xf numFmtId="181" fontId="19" fillId="0" borderId="1" xfId="0" applyNumberFormat="1" applyFont="1" applyFill="1" applyBorder="1" applyAlignment="1" applyProtection="1">
      <alignment vertical="center" wrapText="1"/>
    </xf>
    <xf numFmtId="3" fontId="19" fillId="0" borderId="1" xfId="0" applyNumberFormat="1" applyFont="1" applyFill="1" applyBorder="1" applyAlignment="1" applyProtection="1">
      <alignment vertical="center" wrapText="1"/>
    </xf>
    <xf numFmtId="176" fontId="19" fillId="0" borderId="1" xfId="0" applyNumberFormat="1" applyFont="1" applyFill="1" applyBorder="1" applyAlignment="1" applyProtection="1">
      <alignment horizontal="left" vertical="center" wrapText="1"/>
    </xf>
    <xf numFmtId="176" fontId="20" fillId="0" borderId="1" xfId="0" applyNumberFormat="1" applyFont="1" applyFill="1" applyBorder="1" applyAlignment="1" applyProtection="1">
      <alignment horizontal="left" vertical="center" wrapText="1"/>
      <protection locked="0"/>
    </xf>
    <xf numFmtId="181" fontId="20" fillId="0" borderId="1" xfId="0" applyNumberFormat="1" applyFont="1" applyFill="1" applyBorder="1" applyAlignment="1" applyProtection="1">
      <alignment vertical="center" wrapText="1"/>
      <protection locked="0"/>
    </xf>
    <xf numFmtId="180" fontId="10" fillId="0" borderId="1" xfId="0" applyNumberFormat="1" applyFont="1" applyFill="1" applyBorder="1" applyAlignment="1">
      <alignment vertical="center" wrapText="1"/>
    </xf>
    <xf numFmtId="176" fontId="20" fillId="0" borderId="1" xfId="0" applyNumberFormat="1" applyFont="1" applyFill="1" applyBorder="1" applyAlignment="1" applyProtection="1">
      <alignment vertical="center" wrapText="1"/>
      <protection locked="0"/>
    </xf>
    <xf numFmtId="181" fontId="19" fillId="0" borderId="1" xfId="0" applyNumberFormat="1" applyFont="1" applyFill="1" applyBorder="1" applyAlignment="1" applyProtection="1">
      <alignment vertical="center" wrapText="1"/>
      <protection locked="0"/>
    </xf>
    <xf numFmtId="176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0" fillId="0" borderId="1" xfId="0" applyNumberFormat="1" applyFont="1" applyFill="1" applyBorder="1" applyAlignment="1" applyProtection="1">
      <alignment vertical="center" wrapText="1"/>
    </xf>
    <xf numFmtId="176" fontId="20" fillId="0" borderId="1" xfId="0" applyNumberFormat="1" applyFont="1" applyFill="1" applyBorder="1" applyAlignment="1" applyProtection="1">
      <alignment horizontal="left" vertical="center" wrapText="1"/>
    </xf>
    <xf numFmtId="181" fontId="20" fillId="0" borderId="1" xfId="0" applyNumberFormat="1" applyFont="1" applyFill="1" applyBorder="1" applyAlignment="1" applyProtection="1">
      <alignment vertical="center" wrapText="1"/>
    </xf>
    <xf numFmtId="176" fontId="19" fillId="0" borderId="1" xfId="0" applyNumberFormat="1" applyFont="1" applyFill="1" applyBorder="1" applyAlignment="1" applyProtection="1">
      <alignment vertical="center" wrapText="1"/>
      <protection locked="0"/>
    </xf>
    <xf numFmtId="3" fontId="19" fillId="0" borderId="1" xfId="0" applyNumberFormat="1" applyFont="1" applyFill="1" applyBorder="1" applyAlignment="1" applyProtection="1">
      <alignment vertical="center" wrapText="1"/>
      <protection locked="0"/>
    </xf>
    <xf numFmtId="181" fontId="25" fillId="0" borderId="1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1" fillId="0" borderId="1" xfId="0" applyNumberFormat="1" applyFont="1" applyFill="1" applyBorder="1" applyAlignment="1" applyProtection="1">
      <alignment vertical="center" wrapText="1"/>
      <protection locked="0"/>
    </xf>
    <xf numFmtId="0" fontId="25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" fontId="2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/>
    <xf numFmtId="0" fontId="14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181" fontId="0" fillId="0" borderId="0" xfId="0" applyNumberFormat="1" applyFont="1" applyFill="1" applyBorder="1" applyAlignment="1">
      <alignment vertical="center" wrapText="1"/>
    </xf>
    <xf numFmtId="181" fontId="21" fillId="0" borderId="0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vertical="center" wrapText="1"/>
    </xf>
    <xf numFmtId="180" fontId="10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0" fillId="0" borderId="1" xfId="0" applyNumberFormat="1" applyFont="1" applyFill="1" applyBorder="1" applyAlignment="1" applyProtection="1">
      <alignment vertical="center" wrapText="1"/>
      <protection locked="0"/>
    </xf>
    <xf numFmtId="181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181" fontId="20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>
      <alignment vertical="center" wrapText="1"/>
    </xf>
    <xf numFmtId="181" fontId="0" fillId="0" borderId="0" xfId="0" applyNumberFormat="1" applyFont="1" applyFill="1" applyAlignment="1">
      <alignment vertical="center" wrapText="1"/>
    </xf>
    <xf numFmtId="181" fontId="10" fillId="0" borderId="6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43" applyFont="1" applyFill="1" applyBorder="1" applyAlignment="1">
      <alignment vertical="center" wrapText="1"/>
    </xf>
    <xf numFmtId="1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181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政府性基金（1-14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2015年政府性基金编制（总表）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2015年政府预留明细表(汇总表)" xfId="35"/>
    <cellStyle name="20% - 强调文字颜色 5" xfId="36" builtinId="46"/>
    <cellStyle name="强调文字颜色 1" xfId="37" builtinId="29"/>
    <cellStyle name="20% - 强调文字颜色 1" xfId="38" builtinId="30"/>
    <cellStyle name="常规_2016年拟用盘活存量资金安排的项目支出（汇总）" xfId="39"/>
    <cellStyle name="40% - 强调文字颜色 1" xfId="40" builtinId="31"/>
    <cellStyle name="20% - 强调文字颜色 2" xfId="41" builtinId="34"/>
    <cellStyle name="40% - 强调文字颜色 2" xfId="42" builtinId="35"/>
    <cellStyle name="常规_录入表" xfId="43"/>
    <cellStyle name="强调文字颜色 3" xfId="44" builtinId="37"/>
    <cellStyle name="强调文字颜色 4" xfId="45" builtinId="41"/>
    <cellStyle name="常规_2015年补充项目拨付情况表（汇总表）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_2009年政府预算表1-4" xfId="51"/>
    <cellStyle name="常规_2006年全省基金完成情况表1" xfId="52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_附件22015年海南省财政预算调整草案0515_2016年财力测算1117（二切表）" xfId="59"/>
    <cellStyle name="常规_政府性基金（1-14）_基金预算表)" xfId="60"/>
    <cellStyle name="常规_政府性基金（1-14）_基金预算表（1-18）" xfId="61"/>
    <cellStyle name="常规_2014年社会保险基金预算（简）" xfId="62"/>
    <cellStyle name="常规_2016年政府预留明细表(汇总表)—20150126" xfId="63"/>
    <cellStyle name="常规_2015年省级转贷市县第二批新增债券分配情况表" xfId="6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</dxf>
  </dxfs>
  <tableStyles count="0" defaultTableStyle="TableStyleMedium2" defaultPivotStyle="PivotStyleLight16"/>
  <colors>
    <mruColors>
      <color rgb="002CDFEA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28.xml"/><Relationship Id="rId36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26.xml"/><Relationship Id="rId34" Type="http://schemas.openxmlformats.org/officeDocument/2006/relationships/externalLink" Target="externalLinks/externalLink25.xml"/><Relationship Id="rId33" Type="http://schemas.openxmlformats.org/officeDocument/2006/relationships/externalLink" Target="externalLinks/externalLink24.xml"/><Relationship Id="rId32" Type="http://schemas.openxmlformats.org/officeDocument/2006/relationships/externalLink" Target="externalLinks/externalLink23.xml"/><Relationship Id="rId31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18.xml"/><Relationship Id="rId26" Type="http://schemas.openxmlformats.org/officeDocument/2006/relationships/externalLink" Target="externalLinks/externalLink17.xml"/><Relationship Id="rId25" Type="http://schemas.openxmlformats.org/officeDocument/2006/relationships/externalLink" Target="externalLinks/externalLink16.xml"/><Relationship Id="rId24" Type="http://schemas.openxmlformats.org/officeDocument/2006/relationships/externalLink" Target="externalLinks/externalLink15.xml"/><Relationship Id="rId23" Type="http://schemas.openxmlformats.org/officeDocument/2006/relationships/externalLink" Target="externalLinks/externalLink14.xml"/><Relationship Id="rId22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9.xml"/><Relationship Id="rId17" Type="http://schemas.openxmlformats.org/officeDocument/2006/relationships/externalLink" Target="externalLinks/externalLink8.xml"/><Relationship Id="rId16" Type="http://schemas.openxmlformats.org/officeDocument/2006/relationships/externalLink" Target="externalLinks/externalLink7.xml"/><Relationship Id="rId15" Type="http://schemas.openxmlformats.org/officeDocument/2006/relationships/externalLink" Target="externalLinks/externalLink6.xml"/><Relationship Id="rId14" Type="http://schemas.openxmlformats.org/officeDocument/2006/relationships/externalLink" Target="externalLinks/externalLink5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Zqh003\d\&#35774;&#22791;\&#21407;&#22987;\814\13%20&#38081;&#36335;&#37197;&#2021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DOCUME~1\ADMINI~1\LOCALS~1\Temp\Rar$DIa0.875\&#26700;&#38754;&#25991;&#20214;&#22841;\&#31532;&#20108;&#21313;&#19977;&#25991;&#20214;&#22841;\&#19996;&#26041;&#24066;\2011&#24180;&#19968;&#33324;&#39044;&#31639;&#25903;&#20986;&#26126;&#32454;&#34920;&#65288;&#19978;&#20250;10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DOCUME~1\ADMINI~1\LOCALS~1\Temp\Rar$DIa0.875\&#26700;&#38754;&#25991;&#20214;&#22841;\&#31532;&#20108;&#21313;&#19977;&#25991;&#20214;&#22841;\&#19996;&#26041;&#24066;\2011&#24180;&#19968;&#33324;&#39044;&#31639;&#25903;&#20986;&#26126;&#32454;&#34920;&#65288;&#19978;&#20250;10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Ysg\&#20849;&#20139;&#30446;&#24405;\&#26032;&#24314;&#25991;&#20214;&#22841;%20(4)\2009&#24180;&#39044;&#31639;\&#20851;&#20110;&#25253;&#36865;&#25919;&#24220;&#39044;&#31639;&#21644;&#37096;&#38376;&#39044;&#31639;&#30340;&#36890;&#30693;23\6-5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&#20849;&#20139;&#30446;&#24405;\&#26032;&#24314;&#25991;&#20214;&#22841;%20(4)\2009&#24180;&#39044;&#31639;\&#20851;&#20110;&#25253;&#36865;&#25919;&#24220;&#39044;&#31639;&#21644;&#37096;&#38376;&#39044;&#31639;&#30340;&#36890;&#30693;23\6-5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Ysg\&#20849;&#20139;&#30446;&#24405;\&#26032;&#24314;&#25991;&#20214;&#22841;%20(4)\2009&#24180;&#39044;&#31639;\&#20851;&#20110;&#25253;&#36865;&#25919;&#24220;&#39044;&#31639;&#21644;&#37096;&#38376;&#39044;&#31639;&#30340;&#36890;&#30693;23\&#21333;&#20301;&#20154;&#21592;&#24037;&#36164;(&#27719;&#24635;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&#20849;&#20139;&#30446;&#24405;\&#26032;&#24314;&#25991;&#20214;&#22841;%20(4)\2009&#24180;&#39044;&#31639;\&#20851;&#20110;&#25253;&#36865;&#25919;&#24220;&#39044;&#31639;&#21644;&#37096;&#38376;&#39044;&#31639;&#30340;&#36890;&#30693;23\&#21333;&#20301;&#20154;&#21592;&#24037;&#36164;(&#27719;&#24635;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&#39044;&#31639;&#35843;&#25972;&#20844;&#24320;\2024&#24180;&#39044;&#31639;&#35843;&#25972;&#20844;&#24320;\L:\&#20892;&#21475;&#24037;&#20316;&#2925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L:\&#20892;&#21475;&#24037;&#20316;&#2925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ownloads\home\uos\Desktop\&#39044;&#31639;&#35843;&#25972;&#20844;&#24320;\L:\&#20892;&#21475;&#24037;&#20316;&#292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Ysg\&#20849;&#20139;&#30446;&#24405;\&#26032;&#24314;&#25991;&#20214;&#22841;%20(4)\2009&#24180;&#39044;&#31639;\&#20851;&#20110;&#25253;&#36865;&#25919;&#24220;&#39044;&#31639;&#21644;&#37096;&#38376;&#39044;&#31639;&#30340;&#36890;&#30693;23\2007&#24180;&#39044;&#31639;&#21644;&#36164;&#26009;(1&#26376;18&#26085;1&#25913;&#24635;&#34920;2006&#24180;&#25903;&#2098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&#20849;&#20139;&#30446;&#24405;\&#26032;&#24314;&#25991;&#20214;&#22841;%20(4)\2009&#24180;&#39044;&#31639;\&#20851;&#20110;&#25253;&#36865;&#25919;&#24220;&#39044;&#31639;&#21644;&#37096;&#38376;&#39044;&#31639;&#30340;&#36890;&#30693;23\2007&#24180;&#39044;&#31639;&#21644;&#36164;&#26009;(1&#26376;18&#26085;1&#25913;&#24635;&#34920;2006&#24180;&#25903;&#20986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Documents%20and%20Settings\Administrator\My%20Documents\My%20RTX%20Files\09000403\&#31532;&#20116;&#25991;&#20214;&#22841;\2014&#24180;&#22320;&#26041;&#25919;&#24220;&#24615;&#20538;&#21153;&#39044;&#31639;&#32534;&#21046;\&#22320;&#26041;&#25919;&#24220;&#24615;&#20538;&#21153;&#25910;&#25903;&#35745;&#21010;&#32508;&#21512;&#34920;&#65288;&#27719;&#24635;&#34920;4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&#25991;&#20214;&#22841;\Documents%20and%20Settings\Administrator\&#26700;&#38754;\&#31532;&#20061;&#25991;&#20214;&#22841;\2015&#24180;&#20538;&#21153;&#37329;&#34701;&#20449;&#24687;&#39044;&#31639;&#32463;&#361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823;&#30000;&#38215;&#25919;&#24220;&#20379;&#20859;&#20154;&#21592;&#20449;&#24687;&#31649;&#29702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22320;&#26041;&#36130;&#25919;&#25910;&#25903;&#39044;&#31639;&#35843;&#25972;\7.&#37325;&#25253;&#25919;&#24220;&#23384;&#26723;\&#38468;&#20214;2-1&#65306;&#19996;&#26041;&#24066;2024&#24180;&#36130;&#25919;&#39044;&#31639;&#35843;&#25972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DOCUME~1\ADMINI~1\LOCALS~1\Temp\Rar$DIa0.875\&#26700;&#38754;&#25991;&#20214;&#22841;\&#31532;&#20108;&#21313;&#19977;&#25991;&#20214;&#22841;\&#19996;&#26041;&#24066;\2011&#24180;&#19968;&#33324;&#39044;&#31639;&#25903;&#20986;&#26126;&#32454;&#34920;&#65288;&#19978;&#20250;10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Ysg\&#20849;&#20139;&#30446;&#24405;\&#26032;&#24314;&#25991;&#20214;&#22841; (4)\2009&#24180;&#39044;&#31639;\&#20851;&#20110;&#25253;&#36865;&#25919;&#24220;&#39044;&#31639;&#21644;&#37096;&#38376;&#39044;&#31639;&#30340;&#36890;&#30693;23\2006&#24180;&#39044;&#31639;&#35843;&#25972;&#36164;&#26009;&#25991;&#20214;&#22841;\&#39044;&#31639;&#25191;&#34892;&#24773;&#20917;(9&#26376;7&#26085;)\Excel &#24037;&#20316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DOCUME~1\ADMINI~1\LOCALS~1\Temp\Rar$DIa0.875\&#20840;&#24066;&#27719;&#24635;&#65288;3.26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L:\&#20892;&#21475;&#24037;&#20316;&#2925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lbw\&#20999;&#223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Ysg\&#20849;&#20139;&#30446;&#24405;\&#19996;&#26041;&#24066;2010&#24180;&#39044;&#31639;&#34920;&#26684;(&#29992;&#20110;&#25171;&#21360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4&#24180;\2024&#24180;&#39044;&#31639;&#32534;&#21046;\&#24066;&#32423;&#24037;&#20316;\&#39044;&#31639;&#22823;&#26412;\&#39044;&#31639;&#22823;&#26412;\2024&#24180;&#39044;&#31639;&#22823;&#26412;&#65288;4.7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\&#20538;&#21173;&#24037;&#20316;\&#31532;&#19977;&#25209;&#20538;&#21048;9.29\5.&#39044;&#31639;&#35843;&#25972;&#20844;&#24320;\&#38468;&#20214;&#65306;2024&#24180;&#19996;&#26041;&#24066;&#36130;&#25919;&#39044;&#31639;&#35843;&#25972;&#26041;&#26696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g\&#20849;&#20139;&#30446;&#24405;\&#19996;&#26041;&#24066;2010&#24180;&#39044;&#31639;&#34920;&#26684;(&#29992;&#20110;&#25171;&#21360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ownloads\home\uos\Desktop\&#39044;&#31639;&#35843;&#25972;&#20844;&#24320;\A:\&#22823;&#30000;&#38215;&#25919;&#24220;&#20379;&#20859;&#20154;&#21592;&#20449;&#24687;&#31649;&#29702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&#39044;&#31639;&#35843;&#25972;&#20844;&#24320;\2024&#24180;&#39044;&#31639;&#35843;&#25972;&#20844;&#24320;\A:\&#22823;&#30000;&#38215;&#25919;&#24220;&#20379;&#20859;&#20154;&#21592;&#20449;&#24687;&#31649;&#29702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A:\&#22823;&#30000;&#38215;&#25919;&#24220;&#20379;&#20859;&#20154;&#21592;&#20449;&#24687;&#31649;&#29702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os\&#39044;&#31639;&#26448;&#26009;\2024&#24180;\2024&#24180;&#39044;&#31639;\&#39044;&#31639;&#35843;&#25972;\2024&#24180;11&#26376;26&#26085;\F:\home\uos\Downloads\home\uos\Desktop\&#39044;&#31639;&#35843;&#25972;&#20844;&#24320;\Zqh003\d\&#35774;&#22791;\&#21407;&#22987;\814\20%20&#36816;&#36755;&#20844;&#214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20%20&#36816;&#36755;&#20844;&#214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预算科目"/>
      <sheetName val="据市长审定修改-待安排数"/>
      <sheetName val="审核数据"/>
      <sheetName val="Sheet1"/>
      <sheetName val="Sheet2"/>
      <sheetName val="Sheet3"/>
      <sheetName val="Sheet5"/>
      <sheetName val="2011年一般预算收支平衡表"/>
      <sheetName val="2011年一般预算收支平衡表11"/>
      <sheetName val="2011年一般预算收支平衡表 (2)"/>
      <sheetName val="2011年基金预算平衡表"/>
      <sheetName val="支出明细表"/>
      <sheetName val="Sheet6"/>
      <sheetName val="Sheet8"/>
      <sheetName val="据市长审定修改"/>
      <sheetName val="工资"/>
      <sheetName val="公积金"/>
      <sheetName val="Sheet4"/>
      <sheetName val="汇总 (根据市长审定修改) 1。25日晚"/>
      <sheetName val="据市长审定修改 (正常运转)"/>
      <sheetName val="据市长审定修改 (项目经费)"/>
      <sheetName val="汇总封面(资金分类安排总表)1。25日晚"/>
      <sheetName val="上市委封面"/>
      <sheetName val="上市委"/>
      <sheetName val="上政府"/>
      <sheetName val="据市长审定修改 (项目经费) (2)"/>
      <sheetName val="教育口用款预测"/>
      <sheetName val="上年专款结转"/>
      <sheetName val="今年专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预算科目"/>
      <sheetName val="据市长审定修改-待安排数"/>
      <sheetName val="审核数据"/>
      <sheetName val="Sheet1"/>
      <sheetName val="Sheet2"/>
      <sheetName val="Sheet3"/>
      <sheetName val="Sheet5"/>
      <sheetName val="2011年一般预算收支平衡表"/>
      <sheetName val="2011年一般预算收支平衡表11"/>
      <sheetName val="2011年一般预算收支平衡表 (2)"/>
      <sheetName val="2011年基金预算平衡表"/>
      <sheetName val="支出明细表"/>
      <sheetName val="Sheet6"/>
      <sheetName val="Sheet8"/>
      <sheetName val="据市长审定修改"/>
      <sheetName val="工资"/>
      <sheetName val="公积金"/>
      <sheetName val="Sheet4"/>
      <sheetName val="汇总 (根据市长审定修改) 1。25日晚"/>
      <sheetName val="据市长审定修改 (正常运转)"/>
      <sheetName val="据市长审定修改 (项目经费)"/>
      <sheetName val="汇总封面(资金分类安排总表)1。25日晚"/>
      <sheetName val="上市委封面"/>
      <sheetName val="上市委"/>
      <sheetName val="上政府"/>
      <sheetName val="据市长审定修改 (项目经费) (2)"/>
      <sheetName val="教育口用款预测"/>
      <sheetName val="上年专款结转"/>
      <sheetName val="今年专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功能科目表"/>
      <sheetName val="经费导入公式"/>
      <sheetName val="6-5-1"/>
      <sheetName val="社保导入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功能科目表"/>
      <sheetName val="经费导入公式"/>
      <sheetName val="6-5-1"/>
      <sheetName val="社保导入格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"/>
      <sheetName val="公式源"/>
      <sheetName val="基建股"/>
      <sheetName val="社保股"/>
      <sheetName val="农财股"/>
      <sheetName val="行财股"/>
      <sheetName val="导入(在职工资)"/>
      <sheetName val="导入(离退休工资)"/>
      <sheetName val="导入(在职津贴)"/>
      <sheetName val="导入(离退休津贴)"/>
      <sheetName val="汇总"/>
      <sheetName val="教育口调整"/>
      <sheetName val="科目条件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"/>
      <sheetName val="公式源"/>
      <sheetName val="基建股"/>
      <sheetName val="社保股"/>
      <sheetName val="农财股"/>
      <sheetName val="行财股"/>
      <sheetName val="导入(在职工资)"/>
      <sheetName val="导入(离退休工资)"/>
      <sheetName val="导入(在职津贴)"/>
      <sheetName val="导入(离退休津贴)"/>
      <sheetName val="汇总"/>
      <sheetName val="教育口调整"/>
      <sheetName val="科目条件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任务"/>
      <sheetName val="省农业厅"/>
      <sheetName val="省林业局"/>
      <sheetName val="省水务厅"/>
      <sheetName val="省海洋与渔业厅"/>
      <sheetName val="省扶贫办"/>
      <sheetName val="省农综办"/>
      <sheetName val="省西沙工委"/>
      <sheetName val="省农垦总局"/>
      <sheetName val="模板"/>
      <sheetName val="Sheet1"/>
      <sheetName val="Sheet2"/>
      <sheetName val="Sheet3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任务"/>
      <sheetName val="省农业厅"/>
      <sheetName val="省林业局"/>
      <sheetName val="省水务厅"/>
      <sheetName val="省海洋与渔业厅"/>
      <sheetName val="省扶贫办"/>
      <sheetName val="省农综办"/>
      <sheetName val="省西沙工委"/>
      <sheetName val="省农垦总局"/>
      <sheetName val="模板"/>
      <sheetName val="Sheet1"/>
      <sheetName val="Sheet2"/>
      <sheetName val="Sheet3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任务"/>
      <sheetName val="省农业厅"/>
      <sheetName val="省林业局"/>
      <sheetName val="省水务厅"/>
      <sheetName val="省海洋与渔业厅"/>
      <sheetName val="省扶贫办"/>
      <sheetName val="省农综办"/>
      <sheetName val="省西沙工委"/>
      <sheetName val="省农垦总局"/>
      <sheetName val="模板"/>
      <sheetName val="Sheet1"/>
      <sheetName val="Sheet2"/>
      <sheetName val="Sheet3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6-5-1 (3)"/>
      <sheetName val="Sheet1"/>
      <sheetName val="预留项目支出预算表"/>
      <sheetName val="全市总表（10日报省）"/>
      <sheetName val="新科目封面"/>
      <sheetName val="1111"/>
      <sheetName val="目录"/>
      <sheetName val="杨表1(作废)"/>
      <sheetName val="杨表2（作废）"/>
      <sheetName val="杨旧简表1（作废）"/>
      <sheetName val="杨旧简表2（作废）"/>
      <sheetName val="表1(10日报省)"/>
      <sheetName val="表2（10日报省）"/>
      <sheetName val="旧简表1（10日报省）"/>
      <sheetName val="旧简表2（10日报省）"/>
      <sheetName val="基金（10日报省）"/>
      <sheetName val="汇总表封面"/>
      <sheetName val="汇总表(1月8日报政府)"/>
      <sheetName val="基金(1月8日报政府)"/>
      <sheetName val="一般预算支出明细(二级简表)"/>
      <sheetName val="一般预算支出明细(三级简表)"/>
      <sheetName val="基金支出（三级简表）"/>
      <sheetName val="基金支出明细资料"/>
      <sheetName val="全部支出名细（三级简表）"/>
      <sheetName val="全部支出明细间表（初稿）"/>
      <sheetName val="全部支出明细材料"/>
      <sheetName val="部门支出"/>
      <sheetName val="日常工作项目支出预算表"/>
      <sheetName val="封面"/>
      <sheetName val="收支1"/>
      <sheetName val="收入2"/>
      <sheetName val="征收计划3"/>
      <sheetName val="支出总表4"/>
      <sheetName val="支出分类5"/>
      <sheetName val="总6"/>
      <sheetName val="6-1"/>
      <sheetName val="6-2"/>
      <sheetName val="6-3"/>
      <sheetName val="6-4"/>
      <sheetName val="6-5总表"/>
      <sheetName val="6-5-1 (2)"/>
      <sheetName val="6-5-1"/>
      <sheetName val="6-5-2"/>
      <sheetName val="采购7"/>
      <sheetName val="人员情况8"/>
      <sheetName val="资料“行财股提供工资表”"/>
      <sheetName val="资料“行政事业性收费收入”"/>
      <sheetName val="资料“其他收入”"/>
      <sheetName val="资料“政府性基金收入”"/>
      <sheetName val="资料“罚没收入”"/>
      <sheetName val="资料“非税收入资金性质报表”"/>
      <sheetName val="资料“2005年转移支付支付情况”"/>
      <sheetName val="资料“2006年转移支付支付情况”"/>
      <sheetName val="资料‘一般预算支出明细(简表测算表格)’"/>
      <sheetName val="资料‘4000万待分配专款’"/>
      <sheetName val="资料‘转移支付（测算用于4000万预留转移支付的安排）’"/>
      <sheetName val="资料“2006年转移支付支付情况”（测算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  <sheetName val="KKKKKKKK"/>
      <sheetName val="13 铁路配件"/>
      <sheetName val="#REF!"/>
      <sheetName val="任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6-5-1 (3)"/>
      <sheetName val="Sheet1"/>
      <sheetName val="预留项目支出预算表"/>
      <sheetName val="全市总表（10日报省）"/>
      <sheetName val="新科目封面"/>
      <sheetName val="1111"/>
      <sheetName val="目录"/>
      <sheetName val="杨表1(作废)"/>
      <sheetName val="杨表2（作废）"/>
      <sheetName val="杨旧简表1（作废）"/>
      <sheetName val="杨旧简表2（作废）"/>
      <sheetName val="表1(10日报省)"/>
      <sheetName val="表2（10日报省）"/>
      <sheetName val="旧简表1（10日报省）"/>
      <sheetName val="旧简表2（10日报省）"/>
      <sheetName val="基金（10日报省）"/>
      <sheetName val="汇总表封面"/>
      <sheetName val="汇总表(1月8日报政府)"/>
      <sheetName val="基金(1月8日报政府)"/>
      <sheetName val="一般预算支出明细(二级简表)"/>
      <sheetName val="一般预算支出明细(三级简表)"/>
      <sheetName val="基金支出（三级简表）"/>
      <sheetName val="基金支出明细资料"/>
      <sheetName val="全部支出名细（三级简表）"/>
      <sheetName val="全部支出明细间表（初稿）"/>
      <sheetName val="全部支出明细材料"/>
      <sheetName val="部门支出"/>
      <sheetName val="日常工作项目支出预算表"/>
      <sheetName val="封面"/>
      <sheetName val="收支1"/>
      <sheetName val="收入2"/>
      <sheetName val="征收计划3"/>
      <sheetName val="支出总表4"/>
      <sheetName val="支出分类5"/>
      <sheetName val="总6"/>
      <sheetName val="6-1"/>
      <sheetName val="6-2"/>
      <sheetName val="6-3"/>
      <sheetName val="6-4"/>
      <sheetName val="6-5总表"/>
      <sheetName val="6-5-1 (2)"/>
      <sheetName val="6-5-1"/>
      <sheetName val="6-5-2"/>
      <sheetName val="采购7"/>
      <sheetName val="人员情况8"/>
      <sheetName val="资料“行财股提供工资表”"/>
      <sheetName val="资料“行政事业性收费收入”"/>
      <sheetName val="资料“其他收入”"/>
      <sheetName val="资料“政府性基金收入”"/>
      <sheetName val="资料“罚没收入”"/>
      <sheetName val="资料“非税收入资金性质报表”"/>
      <sheetName val="资料“2005年转移支付支付情况”"/>
      <sheetName val="资料“2006年转移支付支付情况”"/>
      <sheetName val="资料‘一般预算支出明细(简表测算表格)’"/>
      <sheetName val="资料‘4000万待分配专款’"/>
      <sheetName val="资料‘转移支付（测算用于4000万预留转移支付的安排）’"/>
      <sheetName val="资料“2006年转移支付支付情况”（测算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收入表录入"/>
      <sheetName val="支出表录入"/>
      <sheetName val="偿还表录入"/>
      <sheetName val="Sheet2"/>
      <sheetName val="2014年地方政府性债务收支计划表（按债务来源）"/>
      <sheetName val="2014年地方政府性债务收支计划表（按单位)"/>
      <sheetName val="2014年地方政府性债务收入计划表"/>
      <sheetName val="2014年地方政府性债务支出计划表"/>
      <sheetName val="Sheet1"/>
      <sheetName val="2014年地方政府性债务偿还计划表"/>
      <sheetName val="2014年地方政府性债务偿还计划表 (全口径)"/>
      <sheetName val="单位联系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014年债务金融信息预算"/>
      <sheetName val="台账"/>
      <sheetName val="债务具体科目 (刚性)"/>
      <sheetName val="城投还款"/>
      <sheetName val="农业保险台账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表1  一般公共预算收支总表"/>
      <sheetName val="表2 一般公共预算支出科目明细表 "/>
      <sheetName val="表3 政府性基金收支总表"/>
      <sheetName val="表4 政府性基金支出科目明细表"/>
      <sheetName val="表5 土地出让项目情况表"/>
      <sheetName val="表6 部门预算收回项目明细"/>
      <sheetName val="表7 政府预留调整明细"/>
      <sheetName val="表8 基金超支项目调整列支渠道"/>
      <sheetName val="表9 基金项目科目调整"/>
      <sheetName val="表10 专项债分配方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预算科目"/>
      <sheetName val="据市长审定修改-待安排数"/>
      <sheetName val="审核数据"/>
      <sheetName val="Sheet1"/>
      <sheetName val="Sheet2"/>
      <sheetName val="Sheet3"/>
      <sheetName val="Sheet5"/>
      <sheetName val="2011年一般预算收支平衡表"/>
      <sheetName val="2011年一般预算收支平衡表11"/>
      <sheetName val="2011年一般预算收支平衡表 (2)"/>
      <sheetName val="2011年基金预算平衡表"/>
      <sheetName val="支出明细表"/>
      <sheetName val="Sheet6"/>
      <sheetName val="Sheet8"/>
      <sheetName val="据市长审定修改"/>
      <sheetName val="工资"/>
      <sheetName val="公积金"/>
      <sheetName val="Sheet4"/>
      <sheetName val="汇总 (根据市长审定修改) 1。25日晚"/>
      <sheetName val="据市长审定修改 (正常运转)"/>
      <sheetName val="据市长审定修改 (项目经费)"/>
      <sheetName val="汇总封面(资金分类安排总表)1。25日晚"/>
      <sheetName val="上市委封面"/>
      <sheetName val="上市委"/>
      <sheetName val="上政府"/>
      <sheetName val="据市长审定修改 (项目经费) (2)"/>
      <sheetName val="教育口用款预测"/>
      <sheetName val="上年专款结转"/>
      <sheetName val="今年专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市级支出明细表 (非定额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全市汇总表 (最终表)"/>
      <sheetName val="#REF!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任务"/>
      <sheetName val="省农业厅"/>
      <sheetName val="省林业局"/>
      <sheetName val="省水务厅"/>
      <sheetName val="省海洋与渔业厅"/>
      <sheetName val="省扶贫办"/>
      <sheetName val="省农综办"/>
      <sheetName val="省西沙工委"/>
      <sheetName val="省农垦总局"/>
      <sheetName val="模板"/>
      <sheetName val="Sheet1"/>
      <sheetName val="Sheet2"/>
      <sheetName val="Sheet3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分口4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公用和小车"/>
      <sheetName val="打印稿（待安排）"/>
      <sheetName val="Sheet2"/>
      <sheetName val="总表 (2)"/>
      <sheetName val="新汇总表封面"/>
      <sheetName val="总表"/>
      <sheetName val="收入"/>
      <sheetName val="支出"/>
      <sheetName val="明细表"/>
      <sheetName val="Sheet3"/>
      <sheetName val="基金表"/>
      <sheetName val="计算"/>
      <sheetName val="税收口径"/>
      <sheetName val="总表 (收入简表)"/>
      <sheetName val="总表 (支出简表)"/>
      <sheetName val="支出 (结构简表)"/>
      <sheetName val="基金表 (收入简表)"/>
      <sheetName val="基金表 (支出简表)"/>
      <sheetName val="Sheet4"/>
      <sheetName val="Sheet1"/>
      <sheetName val="2010年部门预算二审情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政府预算部分封面"/>
      <sheetName val="表一一般公共预算收支总表"/>
      <sheetName val="表二一般公共预算收支明细表"/>
      <sheetName val="表三一般公共预算支出来源表 "/>
      <sheetName val="表四一般公共预算支出经济分类表 "/>
      <sheetName val="表五政府性基金收支总表"/>
      <sheetName val="表六政府性基金收支明细表"/>
      <sheetName val="表七政府性基金支出来源表"/>
      <sheetName val="表八支出经济分类政府预算表"/>
      <sheetName val="表九国有资本经营预算收支总表"/>
      <sheetName val="表十社保基金预期收支总表"/>
      <sheetName val="表十一政府预留（债务）"/>
      <sheetName val="表十二政府预留（其他）"/>
      <sheetName val="部门预算部分封面"/>
      <sheetName val="表十三部门收支预算总表"/>
      <sheetName val="表十四部门收入预算总表（按部门）"/>
      <sheetName val="表十五部门支出预算总表（按部门）"/>
      <sheetName val="表十六 部门基本支出"/>
      <sheetName val="表十七部门预算明细分表（本级项目）"/>
      <sheetName val="表十八部门预算明细分表（上级项目）"/>
      <sheetName val="表十九部门预算明细分表（上年结转项目）"/>
      <sheetName val="表二十部门预算明细分表（单位资金项目）"/>
      <sheetName val="表二十一部门预算明细表（财政专户资金项目）"/>
      <sheetName val="表二十二 新增债券分配情况表"/>
      <sheetName val="预算附表"/>
      <sheetName val="表二十三 农村税费改革"/>
      <sheetName val="表二十四 基本数字表"/>
      <sheetName val="表二十五 PPP项目中长期支出责任财政规划表"/>
      <sheetName val="表二十六 2024-2026年政府债务还款计划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表1 政府性基金收支总表"/>
      <sheetName val="表2 政府性基金支出科目明细表"/>
      <sheetName val="表3 债券资金分配表"/>
      <sheetName val="表4 债务限额调整表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公用和小车"/>
      <sheetName val="打印稿（待安排）"/>
      <sheetName val="Sheet2"/>
      <sheetName val="总表 (2)"/>
      <sheetName val="新汇总表封面"/>
      <sheetName val="总表"/>
      <sheetName val="收入"/>
      <sheetName val="支出"/>
      <sheetName val="明细表"/>
      <sheetName val="Sheet3"/>
      <sheetName val="基金表"/>
      <sheetName val="计算"/>
      <sheetName val="税收口径"/>
      <sheetName val="总表 (收入简表)"/>
      <sheetName val="总表 (支出简表)"/>
      <sheetName val="支出 (结构简表)"/>
      <sheetName val="基金表 (收入简表)"/>
      <sheetName val="基金表 (支出简表)"/>
      <sheetName val="Sheet4"/>
      <sheetName val="Sheet1"/>
      <sheetName val="2010年部门预算二审情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"/>
      <sheetName val="XL4Poppy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"/>
      <sheetName val="XL4Poppy"/>
      <sheetName val="KKKKKKKK"/>
      <sheetName val="20 运输公司"/>
      <sheetName val="13 铁路配件"/>
      <sheetName val="任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1"/>
  <sheetViews>
    <sheetView showGridLines="0" showZeros="0" workbookViewId="0">
      <pane xSplit="1" ySplit="6" topLeftCell="B4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8"/>
  <cols>
    <col min="1" max="1" width="21.75" style="188" customWidth="1"/>
    <col min="2" max="2" width="9.125" style="188" customWidth="1"/>
    <col min="3" max="6" width="8.75" style="188" customWidth="1"/>
    <col min="7" max="7" width="10.5" style="188" customWidth="1"/>
    <col min="8" max="8" width="11.125" style="188" customWidth="1"/>
    <col min="9" max="9" width="24.875" style="188" customWidth="1"/>
    <col min="10" max="10" width="9.25" style="188" customWidth="1"/>
    <col min="11" max="14" width="9.375" style="188" customWidth="1"/>
    <col min="15" max="15" width="11.375" style="188" customWidth="1"/>
    <col min="16" max="16" width="11.25" style="188" customWidth="1"/>
    <col min="17" max="217" width="9" style="188"/>
    <col min="218" max="16384" width="9" style="189"/>
  </cols>
  <sheetData>
    <row r="1" ht="15" spans="1:16">
      <c r="A1" s="156" t="s">
        <v>0</v>
      </c>
      <c r="B1" s="190"/>
      <c r="C1" s="190"/>
      <c r="D1" s="190"/>
      <c r="E1" s="190"/>
      <c r="F1" s="190"/>
      <c r="G1" s="190"/>
      <c r="H1" s="190"/>
      <c r="I1" s="201"/>
      <c r="J1" s="190"/>
      <c r="K1" s="190"/>
      <c r="L1" s="190"/>
      <c r="M1" s="190"/>
      <c r="N1" s="190"/>
      <c r="O1" s="190"/>
      <c r="P1" s="190"/>
    </row>
    <row r="2" ht="22.5" spans="1:16">
      <c r="A2" s="158" t="s">
        <v>1</v>
      </c>
      <c r="B2" s="191"/>
      <c r="C2" s="191"/>
      <c r="D2" s="191"/>
      <c r="E2" s="191"/>
      <c r="F2" s="191"/>
      <c r="G2" s="191"/>
      <c r="H2" s="191"/>
      <c r="I2" s="158"/>
      <c r="J2" s="191"/>
      <c r="K2" s="191"/>
      <c r="L2" s="191"/>
      <c r="M2" s="191"/>
      <c r="N2" s="191"/>
      <c r="O2" s="191"/>
      <c r="P2" s="191"/>
    </row>
    <row r="3" spans="1:16">
      <c r="A3" s="155"/>
      <c r="B3" s="190"/>
      <c r="C3" s="190"/>
      <c r="D3" s="190"/>
      <c r="E3" s="190"/>
      <c r="F3" s="190"/>
      <c r="G3" s="190"/>
      <c r="H3" s="190"/>
      <c r="I3" s="155"/>
      <c r="J3" s="190"/>
      <c r="K3" s="190"/>
      <c r="L3" s="202"/>
      <c r="M3" s="202"/>
      <c r="N3" s="202"/>
      <c r="O3" s="203" t="s">
        <v>2</v>
      </c>
      <c r="P3" s="203"/>
    </row>
    <row r="4" ht="14.25" spans="1:16">
      <c r="A4" s="164" t="s">
        <v>3</v>
      </c>
      <c r="B4" s="45"/>
      <c r="C4" s="45"/>
      <c r="D4" s="45"/>
      <c r="E4" s="45"/>
      <c r="F4" s="45"/>
      <c r="G4" s="45"/>
      <c r="H4" s="45"/>
      <c r="I4" s="164" t="s">
        <v>4</v>
      </c>
      <c r="J4" s="45"/>
      <c r="K4" s="45"/>
      <c r="L4" s="45"/>
      <c r="M4" s="45"/>
      <c r="N4" s="45"/>
      <c r="O4" s="45"/>
      <c r="P4" s="45"/>
    </row>
    <row r="5" ht="24" customHeight="1" spans="1:16">
      <c r="A5" s="164" t="s">
        <v>5</v>
      </c>
      <c r="B5" s="45" t="s">
        <v>6</v>
      </c>
      <c r="C5" s="100" t="s">
        <v>7</v>
      </c>
      <c r="D5" s="100" t="s">
        <v>8</v>
      </c>
      <c r="E5" s="45" t="s">
        <v>9</v>
      </c>
      <c r="F5" s="45" t="s">
        <v>10</v>
      </c>
      <c r="G5" s="45" t="s">
        <v>10</v>
      </c>
      <c r="H5" s="45"/>
      <c r="I5" s="164" t="s">
        <v>5</v>
      </c>
      <c r="J5" s="45" t="s">
        <v>6</v>
      </c>
      <c r="K5" s="100" t="s">
        <v>7</v>
      </c>
      <c r="L5" s="100" t="s">
        <v>8</v>
      </c>
      <c r="M5" s="45" t="s">
        <v>9</v>
      </c>
      <c r="N5" s="45" t="s">
        <v>10</v>
      </c>
      <c r="O5" s="45" t="s">
        <v>10</v>
      </c>
      <c r="P5" s="45"/>
    </row>
    <row r="6" s="187" customFormat="1" ht="30.95" customHeight="1" spans="1:244">
      <c r="A6" s="164"/>
      <c r="B6" s="45"/>
      <c r="C6" s="104"/>
      <c r="D6" s="104"/>
      <c r="E6" s="45"/>
      <c r="F6" s="45"/>
      <c r="G6" s="45" t="s">
        <v>11</v>
      </c>
      <c r="H6" s="45" t="s">
        <v>12</v>
      </c>
      <c r="I6" s="164"/>
      <c r="J6" s="45"/>
      <c r="K6" s="104"/>
      <c r="L6" s="104"/>
      <c r="M6" s="45"/>
      <c r="N6" s="45"/>
      <c r="O6" s="45" t="s">
        <v>11</v>
      </c>
      <c r="P6" s="45" t="s">
        <v>12</v>
      </c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</row>
    <row r="7" s="187" customFormat="1" ht="21" customHeight="1" spans="1:244">
      <c r="A7" s="61" t="s">
        <v>13</v>
      </c>
      <c r="B7" s="49">
        <f>B8+B24</f>
        <v>103844</v>
      </c>
      <c r="C7" s="49">
        <f>C8+C24</f>
        <v>129019.84</v>
      </c>
      <c r="D7" s="49">
        <f>D8+D24</f>
        <v>129019.84</v>
      </c>
      <c r="E7" s="49">
        <f t="shared" ref="E7:E32" si="0">F7-D7</f>
        <v>-15344.21</v>
      </c>
      <c r="F7" s="49">
        <f>F8+F24</f>
        <v>113675.63</v>
      </c>
      <c r="G7" s="49">
        <f t="shared" ref="G7:G57" si="1">F7-B7</f>
        <v>9831.63</v>
      </c>
      <c r="H7" s="192">
        <f t="shared" ref="H7:H50" si="2">G7/B7</f>
        <v>0.0946769192249914</v>
      </c>
      <c r="I7" s="61" t="s">
        <v>14</v>
      </c>
      <c r="J7" s="49">
        <f>SUM(J8:J31)</f>
        <v>513947</v>
      </c>
      <c r="K7" s="49">
        <f>SUM(K8:K31)</f>
        <v>516856</v>
      </c>
      <c r="L7" s="49">
        <f>SUM(L8:L31)</f>
        <v>554322</v>
      </c>
      <c r="M7" s="49">
        <f>SUM(M8:M31)</f>
        <v>-18524.546668</v>
      </c>
      <c r="N7" s="49">
        <f>SUM(N8:N31)</f>
        <v>535797.453332</v>
      </c>
      <c r="O7" s="49">
        <f t="shared" ref="O7:O57" si="3">N7-J7</f>
        <v>21850.4533319999</v>
      </c>
      <c r="P7" s="192">
        <f t="shared" ref="P7:P57" si="4">O7/J7</f>
        <v>0.0425149934370664</v>
      </c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09"/>
      <c r="DV7" s="209"/>
      <c r="DW7" s="209"/>
      <c r="DX7" s="209"/>
      <c r="DY7" s="209"/>
      <c r="DZ7" s="209"/>
      <c r="EA7" s="209"/>
      <c r="EB7" s="209"/>
      <c r="EC7" s="209"/>
      <c r="ED7" s="209"/>
      <c r="EE7" s="209"/>
      <c r="EF7" s="209"/>
      <c r="EG7" s="209"/>
      <c r="EH7" s="209"/>
      <c r="EI7" s="209"/>
      <c r="EJ7" s="209"/>
      <c r="EK7" s="209"/>
      <c r="EL7" s="209"/>
      <c r="EM7" s="209"/>
      <c r="EN7" s="209"/>
      <c r="EO7" s="209"/>
      <c r="EP7" s="209"/>
      <c r="EQ7" s="209"/>
      <c r="ER7" s="209"/>
      <c r="ES7" s="209"/>
      <c r="ET7" s="209"/>
      <c r="EU7" s="209"/>
      <c r="EV7" s="209"/>
      <c r="EW7" s="209"/>
      <c r="EX7" s="209"/>
      <c r="EY7" s="209"/>
      <c r="EZ7" s="209"/>
      <c r="FA7" s="209"/>
      <c r="FB7" s="209"/>
      <c r="FC7" s="209"/>
      <c r="FD7" s="209"/>
      <c r="FE7" s="209"/>
      <c r="FF7" s="209"/>
      <c r="FG7" s="209"/>
      <c r="FH7" s="209"/>
      <c r="FI7" s="209"/>
      <c r="FJ7" s="209"/>
      <c r="FK7" s="209"/>
      <c r="FL7" s="209"/>
      <c r="FM7" s="209"/>
      <c r="FN7" s="209"/>
      <c r="FO7" s="209"/>
      <c r="FP7" s="209"/>
      <c r="FQ7" s="209"/>
      <c r="FR7" s="209"/>
      <c r="FS7" s="209"/>
      <c r="FT7" s="209"/>
      <c r="FU7" s="209"/>
      <c r="FV7" s="209"/>
      <c r="FW7" s="209"/>
      <c r="FX7" s="209"/>
      <c r="FY7" s="209"/>
      <c r="FZ7" s="209"/>
      <c r="GA7" s="209"/>
      <c r="GB7" s="209"/>
      <c r="GC7" s="209"/>
      <c r="GD7" s="209"/>
      <c r="GE7" s="209"/>
      <c r="GF7" s="209"/>
      <c r="GG7" s="209"/>
      <c r="GH7" s="209"/>
      <c r="GI7" s="209"/>
      <c r="GJ7" s="209"/>
      <c r="GK7" s="209"/>
      <c r="GL7" s="209"/>
      <c r="GM7" s="209"/>
      <c r="GN7" s="209"/>
      <c r="GO7" s="209"/>
      <c r="GP7" s="209"/>
      <c r="GQ7" s="209"/>
      <c r="GR7" s="209"/>
      <c r="GS7" s="209"/>
      <c r="GT7" s="209"/>
      <c r="GU7" s="209"/>
      <c r="GV7" s="209"/>
      <c r="GW7" s="209"/>
      <c r="GX7" s="209"/>
      <c r="GY7" s="209"/>
      <c r="GZ7" s="209"/>
      <c r="HA7" s="209"/>
      <c r="HB7" s="209"/>
      <c r="HC7" s="209"/>
      <c r="HD7" s="209"/>
      <c r="HE7" s="209"/>
      <c r="HF7" s="209"/>
      <c r="HG7" s="209"/>
      <c r="HH7" s="209"/>
      <c r="HI7" s="209"/>
      <c r="HJ7" s="210"/>
      <c r="HK7" s="210"/>
      <c r="HL7" s="210"/>
      <c r="HM7" s="210"/>
      <c r="HN7" s="210"/>
      <c r="HO7" s="210"/>
      <c r="HP7" s="210"/>
      <c r="HQ7" s="210"/>
      <c r="HR7" s="210"/>
      <c r="HS7" s="210"/>
      <c r="HT7" s="210"/>
      <c r="HU7" s="210"/>
      <c r="HV7" s="210"/>
      <c r="HW7" s="210"/>
      <c r="HX7" s="210"/>
      <c r="HY7" s="210"/>
      <c r="HZ7" s="210"/>
      <c r="IA7" s="210"/>
      <c r="IB7" s="210"/>
      <c r="IC7" s="210"/>
      <c r="ID7" s="210"/>
      <c r="IE7" s="210"/>
      <c r="IF7" s="210"/>
      <c r="IG7" s="210"/>
      <c r="IH7" s="210"/>
      <c r="II7" s="210"/>
      <c r="IJ7" s="210"/>
    </row>
    <row r="8" s="187" customFormat="1" ht="21" customHeight="1" spans="1:244">
      <c r="A8" s="193" t="s">
        <v>15</v>
      </c>
      <c r="B8" s="49">
        <f>SUM(B9:B23)</f>
        <v>74482</v>
      </c>
      <c r="C8" s="49">
        <f>SUM(C9:C23)</f>
        <v>85469.84</v>
      </c>
      <c r="D8" s="49">
        <f>SUM(D9:D23)</f>
        <v>85469.84</v>
      </c>
      <c r="E8" s="49">
        <f t="shared" si="0"/>
        <v>-18793.84</v>
      </c>
      <c r="F8" s="49">
        <f>SUM(F9:F23)</f>
        <v>66676</v>
      </c>
      <c r="G8" s="49">
        <f t="shared" si="1"/>
        <v>-7806</v>
      </c>
      <c r="H8" s="192">
        <f t="shared" si="2"/>
        <v>-0.10480384522435</v>
      </c>
      <c r="I8" s="204" t="s">
        <v>16</v>
      </c>
      <c r="J8" s="54">
        <v>36521</v>
      </c>
      <c r="K8" s="54">
        <v>28797</v>
      </c>
      <c r="L8" s="54">
        <v>28797</v>
      </c>
      <c r="M8" s="54">
        <v>-561</v>
      </c>
      <c r="N8" s="54">
        <f>L8+M8</f>
        <v>28236</v>
      </c>
      <c r="O8" s="54">
        <f t="shared" si="3"/>
        <v>-8285</v>
      </c>
      <c r="P8" s="194">
        <f t="shared" si="4"/>
        <v>-0.226855781605104</v>
      </c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</row>
    <row r="9" s="187" customFormat="1" ht="43" customHeight="1" spans="1:244">
      <c r="A9" s="112" t="s">
        <v>17</v>
      </c>
      <c r="B9" s="54">
        <v>27150</v>
      </c>
      <c r="C9" s="54">
        <v>30184</v>
      </c>
      <c r="D9" s="54">
        <v>30184</v>
      </c>
      <c r="E9" s="54">
        <f t="shared" si="0"/>
        <v>-4524</v>
      </c>
      <c r="F9" s="54">
        <v>25660</v>
      </c>
      <c r="G9" s="54">
        <f t="shared" si="1"/>
        <v>-1490</v>
      </c>
      <c r="H9" s="194">
        <f t="shared" si="2"/>
        <v>-0.0548802946593002</v>
      </c>
      <c r="I9" s="204" t="s">
        <v>18</v>
      </c>
      <c r="J9" s="54"/>
      <c r="K9" s="54"/>
      <c r="L9" s="54">
        <v>0</v>
      </c>
      <c r="M9" s="54"/>
      <c r="N9" s="54">
        <f t="shared" ref="N9:N31" si="5">L9+M9</f>
        <v>0</v>
      </c>
      <c r="O9" s="54">
        <f t="shared" si="3"/>
        <v>0</v>
      </c>
      <c r="P9" s="194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  <c r="DO9" s="209"/>
      <c r="DP9" s="209"/>
      <c r="DQ9" s="209"/>
      <c r="DR9" s="209"/>
      <c r="DS9" s="209"/>
      <c r="DT9" s="209"/>
      <c r="DU9" s="209"/>
      <c r="DV9" s="209"/>
      <c r="DW9" s="209"/>
      <c r="DX9" s="209"/>
      <c r="DY9" s="209"/>
      <c r="DZ9" s="209"/>
      <c r="EA9" s="209"/>
      <c r="EB9" s="209"/>
      <c r="EC9" s="209"/>
      <c r="ED9" s="209"/>
      <c r="EE9" s="209"/>
      <c r="EF9" s="209"/>
      <c r="EG9" s="209"/>
      <c r="EH9" s="209"/>
      <c r="EI9" s="209"/>
      <c r="EJ9" s="209"/>
      <c r="EK9" s="209"/>
      <c r="EL9" s="209"/>
      <c r="EM9" s="209"/>
      <c r="EN9" s="209"/>
      <c r="EO9" s="209"/>
      <c r="EP9" s="209"/>
      <c r="EQ9" s="209"/>
      <c r="ER9" s="209"/>
      <c r="ES9" s="209"/>
      <c r="ET9" s="209"/>
      <c r="EU9" s="209"/>
      <c r="EV9" s="209"/>
      <c r="EW9" s="209"/>
      <c r="EX9" s="209"/>
      <c r="EY9" s="209"/>
      <c r="EZ9" s="209"/>
      <c r="FA9" s="209"/>
      <c r="FB9" s="209"/>
      <c r="FC9" s="209"/>
      <c r="FD9" s="209"/>
      <c r="FE9" s="209"/>
      <c r="FF9" s="209"/>
      <c r="FG9" s="209"/>
      <c r="FH9" s="209"/>
      <c r="FI9" s="209"/>
      <c r="FJ9" s="209"/>
      <c r="FK9" s="209"/>
      <c r="FL9" s="209"/>
      <c r="FM9" s="209"/>
      <c r="FN9" s="209"/>
      <c r="FO9" s="209"/>
      <c r="FP9" s="209"/>
      <c r="FQ9" s="209"/>
      <c r="FR9" s="209"/>
      <c r="FS9" s="209"/>
      <c r="FT9" s="209"/>
      <c r="FU9" s="209"/>
      <c r="FV9" s="209"/>
      <c r="FW9" s="209"/>
      <c r="FX9" s="209"/>
      <c r="FY9" s="209"/>
      <c r="FZ9" s="209"/>
      <c r="GA9" s="209"/>
      <c r="GB9" s="209"/>
      <c r="GC9" s="209"/>
      <c r="GD9" s="209"/>
      <c r="GE9" s="209"/>
      <c r="GF9" s="209"/>
      <c r="GG9" s="209"/>
      <c r="GH9" s="209"/>
      <c r="GI9" s="209"/>
      <c r="GJ9" s="209"/>
      <c r="GK9" s="209"/>
      <c r="GL9" s="209"/>
      <c r="GM9" s="209"/>
      <c r="GN9" s="209"/>
      <c r="GO9" s="209"/>
      <c r="GP9" s="209"/>
      <c r="GQ9" s="209"/>
      <c r="GR9" s="209"/>
      <c r="GS9" s="209"/>
      <c r="GT9" s="209"/>
      <c r="GU9" s="209"/>
      <c r="GV9" s="209"/>
      <c r="GW9" s="209"/>
      <c r="GX9" s="209"/>
      <c r="GY9" s="209"/>
      <c r="GZ9" s="209"/>
      <c r="HA9" s="209"/>
      <c r="HB9" s="209"/>
      <c r="HC9" s="209"/>
      <c r="HD9" s="209"/>
      <c r="HE9" s="209"/>
      <c r="HF9" s="209"/>
      <c r="HG9" s="209"/>
      <c r="HH9" s="209"/>
      <c r="HI9" s="209"/>
      <c r="HJ9" s="210"/>
      <c r="HK9" s="210"/>
      <c r="HL9" s="210"/>
      <c r="HM9" s="210"/>
      <c r="HN9" s="210"/>
      <c r="HO9" s="210"/>
      <c r="HP9" s="210"/>
      <c r="HQ9" s="210"/>
      <c r="HR9" s="210"/>
      <c r="HS9" s="210"/>
      <c r="HT9" s="210"/>
      <c r="HU9" s="210"/>
      <c r="HV9" s="210"/>
      <c r="HW9" s="210"/>
      <c r="HX9" s="210"/>
      <c r="HY9" s="210"/>
      <c r="HZ9" s="210"/>
      <c r="IA9" s="210"/>
      <c r="IB9" s="210"/>
      <c r="IC9" s="210"/>
      <c r="ID9" s="210"/>
      <c r="IE9" s="210"/>
      <c r="IF9" s="210"/>
      <c r="IG9" s="210"/>
      <c r="IH9" s="210"/>
      <c r="II9" s="210"/>
      <c r="IJ9" s="210"/>
    </row>
    <row r="10" s="187" customFormat="1" ht="18.95" customHeight="1" spans="1:244">
      <c r="A10" s="112" t="s">
        <v>19</v>
      </c>
      <c r="B10" s="54">
        <v>17002</v>
      </c>
      <c r="C10" s="54">
        <v>19320</v>
      </c>
      <c r="D10" s="54">
        <v>19320</v>
      </c>
      <c r="E10" s="54">
        <f t="shared" si="0"/>
        <v>-7858</v>
      </c>
      <c r="F10" s="54">
        <v>11462</v>
      </c>
      <c r="G10" s="54">
        <f t="shared" si="1"/>
        <v>-5540</v>
      </c>
      <c r="H10" s="194">
        <f t="shared" si="2"/>
        <v>-0.325844018350782</v>
      </c>
      <c r="I10" s="204" t="s">
        <v>20</v>
      </c>
      <c r="J10" s="54">
        <v>453</v>
      </c>
      <c r="K10" s="54">
        <v>213</v>
      </c>
      <c r="L10" s="54">
        <v>213</v>
      </c>
      <c r="M10" s="54"/>
      <c r="N10" s="54">
        <f t="shared" si="5"/>
        <v>213</v>
      </c>
      <c r="O10" s="54">
        <f t="shared" si="3"/>
        <v>-240</v>
      </c>
      <c r="P10" s="194">
        <f t="shared" si="4"/>
        <v>-0.529801324503311</v>
      </c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  <c r="DO10" s="209"/>
      <c r="DP10" s="209"/>
      <c r="DQ10" s="209"/>
      <c r="DR10" s="209"/>
      <c r="DS10" s="209"/>
      <c r="DT10" s="209"/>
      <c r="DU10" s="209"/>
      <c r="DV10" s="209"/>
      <c r="DW10" s="209"/>
      <c r="DX10" s="209"/>
      <c r="DY10" s="209"/>
      <c r="DZ10" s="209"/>
      <c r="EA10" s="209"/>
      <c r="EB10" s="209"/>
      <c r="EC10" s="209"/>
      <c r="ED10" s="209"/>
      <c r="EE10" s="209"/>
      <c r="EF10" s="209"/>
      <c r="EG10" s="209"/>
      <c r="EH10" s="209"/>
      <c r="EI10" s="209"/>
      <c r="EJ10" s="209"/>
      <c r="EK10" s="209"/>
      <c r="EL10" s="209"/>
      <c r="EM10" s="209"/>
      <c r="EN10" s="209"/>
      <c r="EO10" s="209"/>
      <c r="EP10" s="209"/>
      <c r="EQ10" s="209"/>
      <c r="ER10" s="209"/>
      <c r="ES10" s="209"/>
      <c r="ET10" s="209"/>
      <c r="EU10" s="209"/>
      <c r="EV10" s="209"/>
      <c r="EW10" s="209"/>
      <c r="EX10" s="209"/>
      <c r="EY10" s="209"/>
      <c r="EZ10" s="209"/>
      <c r="FA10" s="209"/>
      <c r="FB10" s="209"/>
      <c r="FC10" s="209"/>
      <c r="FD10" s="209"/>
      <c r="FE10" s="209"/>
      <c r="FF10" s="209"/>
      <c r="FG10" s="209"/>
      <c r="FH10" s="209"/>
      <c r="FI10" s="209"/>
      <c r="FJ10" s="209"/>
      <c r="FK10" s="209"/>
      <c r="FL10" s="209"/>
      <c r="FM10" s="209"/>
      <c r="FN10" s="209"/>
      <c r="FO10" s="209"/>
      <c r="FP10" s="209"/>
      <c r="FQ10" s="209"/>
      <c r="FR10" s="209"/>
      <c r="FS10" s="209"/>
      <c r="FT10" s="209"/>
      <c r="FU10" s="209"/>
      <c r="FV10" s="209"/>
      <c r="FW10" s="209"/>
      <c r="FX10" s="209"/>
      <c r="FY10" s="209"/>
      <c r="FZ10" s="209"/>
      <c r="GA10" s="209"/>
      <c r="GB10" s="209"/>
      <c r="GC10" s="209"/>
      <c r="GD10" s="209"/>
      <c r="GE10" s="209"/>
      <c r="GF10" s="209"/>
      <c r="GG10" s="209"/>
      <c r="GH10" s="209"/>
      <c r="GI10" s="209"/>
      <c r="GJ10" s="209"/>
      <c r="GK10" s="209"/>
      <c r="GL10" s="209"/>
      <c r="GM10" s="209"/>
      <c r="GN10" s="209"/>
      <c r="GO10" s="209"/>
      <c r="GP10" s="209"/>
      <c r="GQ10" s="209"/>
      <c r="GR10" s="209"/>
      <c r="GS10" s="209"/>
      <c r="GT10" s="209"/>
      <c r="GU10" s="209"/>
      <c r="GV10" s="209"/>
      <c r="GW10" s="209"/>
      <c r="GX10" s="209"/>
      <c r="GY10" s="209"/>
      <c r="GZ10" s="209"/>
      <c r="HA10" s="209"/>
      <c r="HB10" s="209"/>
      <c r="HC10" s="209"/>
      <c r="HD10" s="209"/>
      <c r="HE10" s="209"/>
      <c r="HF10" s="209"/>
      <c r="HG10" s="209"/>
      <c r="HH10" s="209"/>
      <c r="HI10" s="209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</row>
    <row r="11" s="187" customFormat="1" ht="18.95" customHeight="1" spans="1:244">
      <c r="A11" s="112" t="s">
        <v>21</v>
      </c>
      <c r="B11" s="54">
        <v>2100</v>
      </c>
      <c r="C11" s="54">
        <v>1722.84</v>
      </c>
      <c r="D11" s="54">
        <v>1722.84</v>
      </c>
      <c r="E11" s="54">
        <f t="shared" si="0"/>
        <v>218.16</v>
      </c>
      <c r="F11" s="54">
        <v>1941</v>
      </c>
      <c r="G11" s="54">
        <f t="shared" si="1"/>
        <v>-159</v>
      </c>
      <c r="H11" s="194">
        <f t="shared" si="2"/>
        <v>-0.0757142857142857</v>
      </c>
      <c r="I11" s="204" t="s">
        <v>22</v>
      </c>
      <c r="J11" s="54">
        <v>12871</v>
      </c>
      <c r="K11" s="54">
        <v>19404</v>
      </c>
      <c r="L11" s="54">
        <v>19404</v>
      </c>
      <c r="M11" s="54">
        <v>-22</v>
      </c>
      <c r="N11" s="54">
        <f t="shared" si="5"/>
        <v>19382</v>
      </c>
      <c r="O11" s="54">
        <f t="shared" si="3"/>
        <v>6511</v>
      </c>
      <c r="P11" s="194">
        <f t="shared" si="4"/>
        <v>0.505865900085463</v>
      </c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09"/>
      <c r="EI11" s="209"/>
      <c r="EJ11" s="209"/>
      <c r="EK11" s="209"/>
      <c r="EL11" s="209"/>
      <c r="EM11" s="209"/>
      <c r="EN11" s="209"/>
      <c r="EO11" s="209"/>
      <c r="EP11" s="209"/>
      <c r="EQ11" s="209"/>
      <c r="ER11" s="209"/>
      <c r="ES11" s="209"/>
      <c r="ET11" s="209"/>
      <c r="EU11" s="209"/>
      <c r="EV11" s="209"/>
      <c r="EW11" s="209"/>
      <c r="EX11" s="209"/>
      <c r="EY11" s="209"/>
      <c r="EZ11" s="209"/>
      <c r="FA11" s="209"/>
      <c r="FB11" s="209"/>
      <c r="FC11" s="209"/>
      <c r="FD11" s="209"/>
      <c r="FE11" s="209"/>
      <c r="FF11" s="209"/>
      <c r="FG11" s="209"/>
      <c r="FH11" s="209"/>
      <c r="FI11" s="209"/>
      <c r="FJ11" s="209"/>
      <c r="FK11" s="209"/>
      <c r="FL11" s="209"/>
      <c r="FM11" s="209"/>
      <c r="FN11" s="209"/>
      <c r="FO11" s="209"/>
      <c r="FP11" s="209"/>
      <c r="FQ11" s="209"/>
      <c r="FR11" s="209"/>
      <c r="FS11" s="209"/>
      <c r="FT11" s="209"/>
      <c r="FU11" s="209"/>
      <c r="FV11" s="209"/>
      <c r="FW11" s="209"/>
      <c r="FX11" s="209"/>
      <c r="FY11" s="209"/>
      <c r="FZ11" s="209"/>
      <c r="GA11" s="209"/>
      <c r="GB11" s="209"/>
      <c r="GC11" s="209"/>
      <c r="GD11" s="209"/>
      <c r="GE11" s="209"/>
      <c r="GF11" s="209"/>
      <c r="GG11" s="209"/>
      <c r="GH11" s="209"/>
      <c r="GI11" s="209"/>
      <c r="GJ11" s="209"/>
      <c r="GK11" s="209"/>
      <c r="GL11" s="209"/>
      <c r="GM11" s="209"/>
      <c r="GN11" s="209"/>
      <c r="GO11" s="209"/>
      <c r="GP11" s="209"/>
      <c r="GQ11" s="209"/>
      <c r="GR11" s="209"/>
      <c r="GS11" s="209"/>
      <c r="GT11" s="209"/>
      <c r="GU11" s="209"/>
      <c r="GV11" s="209"/>
      <c r="GW11" s="209"/>
      <c r="GX11" s="209"/>
      <c r="GY11" s="209"/>
      <c r="GZ11" s="209"/>
      <c r="HA11" s="209"/>
      <c r="HB11" s="209"/>
      <c r="HC11" s="209"/>
      <c r="HD11" s="209"/>
      <c r="HE11" s="209"/>
      <c r="HF11" s="209"/>
      <c r="HG11" s="209"/>
      <c r="HH11" s="209"/>
      <c r="HI11" s="209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</row>
    <row r="12" s="187" customFormat="1" ht="18.95" customHeight="1" spans="1:244">
      <c r="A12" s="112" t="s">
        <v>23</v>
      </c>
      <c r="B12" s="54">
        <v>379</v>
      </c>
      <c r="C12" s="54">
        <v>378</v>
      </c>
      <c r="D12" s="54">
        <v>378</v>
      </c>
      <c r="E12" s="54">
        <f t="shared" si="0"/>
        <v>-101</v>
      </c>
      <c r="F12" s="54">
        <v>277</v>
      </c>
      <c r="G12" s="54">
        <f t="shared" si="1"/>
        <v>-102</v>
      </c>
      <c r="H12" s="194">
        <f t="shared" si="2"/>
        <v>-0.269129287598945</v>
      </c>
      <c r="I12" s="204" t="s">
        <v>24</v>
      </c>
      <c r="J12" s="54">
        <v>108590</v>
      </c>
      <c r="K12" s="54">
        <v>113908</v>
      </c>
      <c r="L12" s="54">
        <v>121108</v>
      </c>
      <c r="M12" s="54">
        <v>-1729</v>
      </c>
      <c r="N12" s="54">
        <f t="shared" si="5"/>
        <v>119379</v>
      </c>
      <c r="O12" s="54">
        <f t="shared" si="3"/>
        <v>10789</v>
      </c>
      <c r="P12" s="194">
        <f t="shared" si="4"/>
        <v>0.0993553734229671</v>
      </c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  <c r="DO12" s="209"/>
      <c r="DP12" s="209"/>
      <c r="DQ12" s="209"/>
      <c r="DR12" s="209"/>
      <c r="DS12" s="209"/>
      <c r="DT12" s="209"/>
      <c r="DU12" s="209"/>
      <c r="DV12" s="209"/>
      <c r="DW12" s="209"/>
      <c r="DX12" s="209"/>
      <c r="DY12" s="209"/>
      <c r="DZ12" s="209"/>
      <c r="EA12" s="209"/>
      <c r="EB12" s="209"/>
      <c r="EC12" s="209"/>
      <c r="ED12" s="209"/>
      <c r="EE12" s="209"/>
      <c r="EF12" s="209"/>
      <c r="EG12" s="209"/>
      <c r="EH12" s="209"/>
      <c r="EI12" s="209"/>
      <c r="EJ12" s="209"/>
      <c r="EK12" s="209"/>
      <c r="EL12" s="209"/>
      <c r="EM12" s="209"/>
      <c r="EN12" s="209"/>
      <c r="EO12" s="209"/>
      <c r="EP12" s="209"/>
      <c r="EQ12" s="209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9"/>
      <c r="GE12" s="209"/>
      <c r="GF12" s="209"/>
      <c r="GG12" s="209"/>
      <c r="GH12" s="209"/>
      <c r="GI12" s="209"/>
      <c r="GJ12" s="209"/>
      <c r="GK12" s="209"/>
      <c r="GL12" s="209"/>
      <c r="GM12" s="209"/>
      <c r="GN12" s="209"/>
      <c r="GO12" s="209"/>
      <c r="GP12" s="209"/>
      <c r="GQ12" s="209"/>
      <c r="GR12" s="209"/>
      <c r="GS12" s="209"/>
      <c r="GT12" s="209"/>
      <c r="GU12" s="209"/>
      <c r="GV12" s="209"/>
      <c r="GW12" s="209"/>
      <c r="GX12" s="209"/>
      <c r="GY12" s="209"/>
      <c r="GZ12" s="209"/>
      <c r="HA12" s="209"/>
      <c r="HB12" s="209"/>
      <c r="HC12" s="209"/>
      <c r="HD12" s="209"/>
      <c r="HE12" s="209"/>
      <c r="HF12" s="209"/>
      <c r="HG12" s="209"/>
      <c r="HH12" s="209"/>
      <c r="HI12" s="209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</row>
    <row r="13" s="187" customFormat="1" ht="18.95" customHeight="1" spans="1:244">
      <c r="A13" s="112" t="s">
        <v>25</v>
      </c>
      <c r="B13" s="54">
        <v>2364</v>
      </c>
      <c r="C13" s="54">
        <v>6916</v>
      </c>
      <c r="D13" s="54">
        <v>6916</v>
      </c>
      <c r="E13" s="54">
        <f t="shared" si="0"/>
        <v>-1916</v>
      </c>
      <c r="F13" s="54">
        <v>5000</v>
      </c>
      <c r="G13" s="54">
        <f t="shared" si="1"/>
        <v>2636</v>
      </c>
      <c r="H13" s="194">
        <f t="shared" si="2"/>
        <v>1.11505922165821</v>
      </c>
      <c r="I13" s="204" t="s">
        <v>26</v>
      </c>
      <c r="J13" s="54">
        <v>115</v>
      </c>
      <c r="K13" s="54">
        <v>275</v>
      </c>
      <c r="L13" s="54">
        <v>275</v>
      </c>
      <c r="M13" s="54"/>
      <c r="N13" s="54">
        <f t="shared" si="5"/>
        <v>275</v>
      </c>
      <c r="O13" s="54">
        <f t="shared" si="3"/>
        <v>160</v>
      </c>
      <c r="P13" s="194">
        <f t="shared" si="4"/>
        <v>1.39130434782609</v>
      </c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  <c r="DT13" s="209"/>
      <c r="DU13" s="209"/>
      <c r="DV13" s="209"/>
      <c r="DW13" s="209"/>
      <c r="DX13" s="209"/>
      <c r="DY13" s="209"/>
      <c r="DZ13" s="209"/>
      <c r="EA13" s="209"/>
      <c r="EB13" s="209"/>
      <c r="EC13" s="209"/>
      <c r="ED13" s="209"/>
      <c r="EE13" s="209"/>
      <c r="EF13" s="209"/>
      <c r="EG13" s="209"/>
      <c r="EH13" s="209"/>
      <c r="EI13" s="209"/>
      <c r="EJ13" s="209"/>
      <c r="EK13" s="209"/>
      <c r="EL13" s="209"/>
      <c r="EM13" s="209"/>
      <c r="EN13" s="209"/>
      <c r="EO13" s="209"/>
      <c r="EP13" s="209"/>
      <c r="EQ13" s="209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/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209"/>
      <c r="GV13" s="209"/>
      <c r="GW13" s="209"/>
      <c r="GX13" s="209"/>
      <c r="GY13" s="209"/>
      <c r="GZ13" s="209"/>
      <c r="HA13" s="209"/>
      <c r="HB13" s="209"/>
      <c r="HC13" s="209"/>
      <c r="HD13" s="209"/>
      <c r="HE13" s="209"/>
      <c r="HF13" s="209"/>
      <c r="HG13" s="209"/>
      <c r="HH13" s="209"/>
      <c r="HI13" s="209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</row>
    <row r="14" s="187" customFormat="1" ht="18.95" customHeight="1" spans="1:244">
      <c r="A14" s="112" t="s">
        <v>27</v>
      </c>
      <c r="B14" s="54">
        <v>4074</v>
      </c>
      <c r="C14" s="54">
        <v>4200</v>
      </c>
      <c r="D14" s="54">
        <v>4200</v>
      </c>
      <c r="E14" s="54">
        <f t="shared" si="0"/>
        <v>382</v>
      </c>
      <c r="F14" s="54">
        <v>4582</v>
      </c>
      <c r="G14" s="54">
        <f t="shared" si="1"/>
        <v>508</v>
      </c>
      <c r="H14" s="194">
        <f t="shared" si="2"/>
        <v>0.124693176239568</v>
      </c>
      <c r="I14" s="204" t="s">
        <v>28</v>
      </c>
      <c r="J14" s="54">
        <v>6964</v>
      </c>
      <c r="K14" s="54">
        <f>3035</f>
        <v>3035</v>
      </c>
      <c r="L14" s="54">
        <v>3035</v>
      </c>
      <c r="M14" s="54">
        <v>-65</v>
      </c>
      <c r="N14" s="54">
        <f t="shared" si="5"/>
        <v>2970</v>
      </c>
      <c r="O14" s="54">
        <f t="shared" si="3"/>
        <v>-3994</v>
      </c>
      <c r="P14" s="194">
        <f t="shared" si="4"/>
        <v>-0.573520964962665</v>
      </c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  <c r="BZ14" s="209"/>
      <c r="CA14" s="209"/>
      <c r="CB14" s="209"/>
      <c r="CC14" s="209"/>
      <c r="CD14" s="209"/>
      <c r="CE14" s="209"/>
      <c r="CF14" s="209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  <c r="DO14" s="209"/>
      <c r="DP14" s="209"/>
      <c r="DQ14" s="209"/>
      <c r="DR14" s="209"/>
      <c r="DS14" s="209"/>
      <c r="DT14" s="209"/>
      <c r="DU14" s="209"/>
      <c r="DV14" s="209"/>
      <c r="DW14" s="209"/>
      <c r="DX14" s="209"/>
      <c r="DY14" s="209"/>
      <c r="DZ14" s="209"/>
      <c r="EA14" s="209"/>
      <c r="EB14" s="209"/>
      <c r="EC14" s="209"/>
      <c r="ED14" s="209"/>
      <c r="EE14" s="209"/>
      <c r="EF14" s="209"/>
      <c r="EG14" s="209"/>
      <c r="EH14" s="209"/>
      <c r="EI14" s="209"/>
      <c r="EJ14" s="209"/>
      <c r="EK14" s="209"/>
      <c r="EL14" s="209"/>
      <c r="EM14" s="209"/>
      <c r="EN14" s="209"/>
      <c r="EO14" s="209"/>
      <c r="EP14" s="209"/>
      <c r="EQ14" s="209"/>
      <c r="ER14" s="209"/>
      <c r="ES14" s="209"/>
      <c r="ET14" s="209"/>
      <c r="EU14" s="209"/>
      <c r="EV14" s="209"/>
      <c r="EW14" s="209"/>
      <c r="EX14" s="209"/>
      <c r="EY14" s="209"/>
      <c r="EZ14" s="209"/>
      <c r="FA14" s="209"/>
      <c r="FB14" s="209"/>
      <c r="FC14" s="209"/>
      <c r="FD14" s="209"/>
      <c r="FE14" s="209"/>
      <c r="FF14" s="209"/>
      <c r="FG14" s="209"/>
      <c r="FH14" s="209"/>
      <c r="FI14" s="209"/>
      <c r="FJ14" s="209"/>
      <c r="FK14" s="209"/>
      <c r="FL14" s="209"/>
      <c r="FM14" s="209"/>
      <c r="FN14" s="209"/>
      <c r="FO14" s="209"/>
      <c r="FP14" s="209"/>
      <c r="FQ14" s="209"/>
      <c r="FR14" s="209"/>
      <c r="FS14" s="209"/>
      <c r="FT14" s="209"/>
      <c r="FU14" s="209"/>
      <c r="FV14" s="209"/>
      <c r="FW14" s="209"/>
      <c r="FX14" s="209"/>
      <c r="FY14" s="209"/>
      <c r="FZ14" s="209"/>
      <c r="GA14" s="209"/>
      <c r="GB14" s="209"/>
      <c r="GC14" s="209"/>
      <c r="GD14" s="209"/>
      <c r="GE14" s="209"/>
      <c r="GF14" s="209"/>
      <c r="GG14" s="209"/>
      <c r="GH14" s="209"/>
      <c r="GI14" s="209"/>
      <c r="GJ14" s="209"/>
      <c r="GK14" s="209"/>
      <c r="GL14" s="209"/>
      <c r="GM14" s="209"/>
      <c r="GN14" s="209"/>
      <c r="GO14" s="209"/>
      <c r="GP14" s="209"/>
      <c r="GQ14" s="209"/>
      <c r="GR14" s="209"/>
      <c r="GS14" s="209"/>
      <c r="GT14" s="209"/>
      <c r="GU14" s="209"/>
      <c r="GV14" s="209"/>
      <c r="GW14" s="209"/>
      <c r="GX14" s="209"/>
      <c r="GY14" s="209"/>
      <c r="GZ14" s="209"/>
      <c r="HA14" s="209"/>
      <c r="HB14" s="209"/>
      <c r="HC14" s="209"/>
      <c r="HD14" s="209"/>
      <c r="HE14" s="209"/>
      <c r="HF14" s="209"/>
      <c r="HG14" s="209"/>
      <c r="HH14" s="209"/>
      <c r="HI14" s="209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</row>
    <row r="15" s="187" customFormat="1" ht="18.95" customHeight="1" spans="1:244">
      <c r="A15" s="112" t="s">
        <v>29</v>
      </c>
      <c r="B15" s="54">
        <v>2331</v>
      </c>
      <c r="C15" s="54">
        <v>2400</v>
      </c>
      <c r="D15" s="54">
        <v>2400</v>
      </c>
      <c r="E15" s="54">
        <f t="shared" si="0"/>
        <v>98</v>
      </c>
      <c r="F15" s="54">
        <v>2498</v>
      </c>
      <c r="G15" s="54">
        <f t="shared" si="1"/>
        <v>167</v>
      </c>
      <c r="H15" s="194">
        <f t="shared" si="2"/>
        <v>0.0716430716430716</v>
      </c>
      <c r="I15" s="204" t="s">
        <v>30</v>
      </c>
      <c r="J15" s="54">
        <v>84187</v>
      </c>
      <c r="K15" s="54">
        <v>93611</v>
      </c>
      <c r="L15" s="54">
        <v>93611</v>
      </c>
      <c r="M15" s="54">
        <v>-2740.951172</v>
      </c>
      <c r="N15" s="54">
        <f t="shared" si="5"/>
        <v>90870.048828</v>
      </c>
      <c r="O15" s="54">
        <f t="shared" si="3"/>
        <v>6683.048828</v>
      </c>
      <c r="P15" s="194">
        <f t="shared" si="4"/>
        <v>0.0793833825650041</v>
      </c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  <c r="DO15" s="209"/>
      <c r="DP15" s="209"/>
      <c r="DQ15" s="209"/>
      <c r="DR15" s="209"/>
      <c r="DS15" s="209"/>
      <c r="DT15" s="209"/>
      <c r="DU15" s="209"/>
      <c r="DV15" s="209"/>
      <c r="DW15" s="209"/>
      <c r="DX15" s="209"/>
      <c r="DY15" s="209"/>
      <c r="DZ15" s="209"/>
      <c r="EA15" s="209"/>
      <c r="EB15" s="209"/>
      <c r="EC15" s="209"/>
      <c r="ED15" s="209"/>
      <c r="EE15" s="209"/>
      <c r="EF15" s="209"/>
      <c r="EG15" s="209"/>
      <c r="EH15" s="209"/>
      <c r="EI15" s="209"/>
      <c r="EJ15" s="209"/>
      <c r="EK15" s="209"/>
      <c r="EL15" s="209"/>
      <c r="EM15" s="209"/>
      <c r="EN15" s="209"/>
      <c r="EO15" s="209"/>
      <c r="EP15" s="209"/>
      <c r="EQ15" s="209"/>
      <c r="ER15" s="209"/>
      <c r="ES15" s="209"/>
      <c r="ET15" s="209"/>
      <c r="EU15" s="209"/>
      <c r="EV15" s="209"/>
      <c r="EW15" s="209"/>
      <c r="EX15" s="209"/>
      <c r="EY15" s="209"/>
      <c r="EZ15" s="209"/>
      <c r="FA15" s="209"/>
      <c r="FB15" s="209"/>
      <c r="FC15" s="209"/>
      <c r="FD15" s="209"/>
      <c r="FE15" s="209"/>
      <c r="FF15" s="209"/>
      <c r="FG15" s="209"/>
      <c r="FH15" s="209"/>
      <c r="FI15" s="209"/>
      <c r="FJ15" s="209"/>
      <c r="FK15" s="209"/>
      <c r="FL15" s="209"/>
      <c r="FM15" s="209"/>
      <c r="FN15" s="209"/>
      <c r="FO15" s="209"/>
      <c r="FP15" s="209"/>
      <c r="FQ15" s="209"/>
      <c r="FR15" s="209"/>
      <c r="FS15" s="209"/>
      <c r="FT15" s="209"/>
      <c r="FU15" s="209"/>
      <c r="FV15" s="209"/>
      <c r="FW15" s="209"/>
      <c r="FX15" s="209"/>
      <c r="FY15" s="209"/>
      <c r="FZ15" s="209"/>
      <c r="GA15" s="209"/>
      <c r="GB15" s="209"/>
      <c r="GC15" s="209"/>
      <c r="GD15" s="209"/>
      <c r="GE15" s="209"/>
      <c r="GF15" s="209"/>
      <c r="GG15" s="209"/>
      <c r="GH15" s="209"/>
      <c r="GI15" s="209"/>
      <c r="GJ15" s="209"/>
      <c r="GK15" s="209"/>
      <c r="GL15" s="209"/>
      <c r="GM15" s="209"/>
      <c r="GN15" s="209"/>
      <c r="GO15" s="209"/>
      <c r="GP15" s="209"/>
      <c r="GQ15" s="209"/>
      <c r="GR15" s="209"/>
      <c r="GS15" s="209"/>
      <c r="GT15" s="209"/>
      <c r="GU15" s="209"/>
      <c r="GV15" s="209"/>
      <c r="GW15" s="209"/>
      <c r="GX15" s="209"/>
      <c r="GY15" s="209"/>
      <c r="GZ15" s="209"/>
      <c r="HA15" s="209"/>
      <c r="HB15" s="209"/>
      <c r="HC15" s="209"/>
      <c r="HD15" s="209"/>
      <c r="HE15" s="209"/>
      <c r="HF15" s="209"/>
      <c r="HG15" s="209"/>
      <c r="HH15" s="209"/>
      <c r="HI15" s="209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</row>
    <row r="16" s="187" customFormat="1" ht="18.95" customHeight="1" spans="1:244">
      <c r="A16" s="112" t="s">
        <v>31</v>
      </c>
      <c r="B16" s="54">
        <v>6538</v>
      </c>
      <c r="C16" s="54">
        <v>6619</v>
      </c>
      <c r="D16" s="54">
        <v>6619</v>
      </c>
      <c r="E16" s="54">
        <f t="shared" si="0"/>
        <v>-619</v>
      </c>
      <c r="F16" s="54">
        <v>6000</v>
      </c>
      <c r="G16" s="54">
        <f t="shared" si="1"/>
        <v>-538</v>
      </c>
      <c r="H16" s="194">
        <f t="shared" si="2"/>
        <v>-0.0822881615172836</v>
      </c>
      <c r="I16" s="204" t="s">
        <v>32</v>
      </c>
      <c r="J16" s="54">
        <v>68678</v>
      </c>
      <c r="K16" s="54">
        <v>58104</v>
      </c>
      <c r="L16" s="54">
        <v>58104</v>
      </c>
      <c r="M16" s="54">
        <v>-1332.8153</v>
      </c>
      <c r="N16" s="54">
        <f t="shared" si="5"/>
        <v>56771.1847</v>
      </c>
      <c r="O16" s="54">
        <f t="shared" si="3"/>
        <v>-11906.8153</v>
      </c>
      <c r="P16" s="194">
        <f t="shared" si="4"/>
        <v>-0.173371608084103</v>
      </c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</row>
    <row r="17" s="187" customFormat="1" ht="18.95" customHeight="1" spans="1:244">
      <c r="A17" s="112" t="s">
        <v>33</v>
      </c>
      <c r="B17" s="54">
        <v>2351</v>
      </c>
      <c r="C17" s="54">
        <v>2380</v>
      </c>
      <c r="D17" s="54">
        <v>2380</v>
      </c>
      <c r="E17" s="54">
        <f t="shared" si="0"/>
        <v>-458</v>
      </c>
      <c r="F17" s="54">
        <v>1922</v>
      </c>
      <c r="G17" s="54">
        <f t="shared" si="1"/>
        <v>-429</v>
      </c>
      <c r="H17" s="194">
        <f t="shared" si="2"/>
        <v>-0.182475542322416</v>
      </c>
      <c r="I17" s="204" t="s">
        <v>34</v>
      </c>
      <c r="J17" s="54">
        <v>6259</v>
      </c>
      <c r="K17" s="54">
        <v>10935</v>
      </c>
      <c r="L17" s="54">
        <v>14155</v>
      </c>
      <c r="M17" s="54">
        <v>-850</v>
      </c>
      <c r="N17" s="54">
        <f t="shared" si="5"/>
        <v>13305</v>
      </c>
      <c r="O17" s="54">
        <f t="shared" si="3"/>
        <v>7046</v>
      </c>
      <c r="P17" s="194">
        <f t="shared" si="4"/>
        <v>1.12573893593226</v>
      </c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DV17" s="209"/>
      <c r="DW17" s="209"/>
      <c r="DX17" s="209"/>
      <c r="DY17" s="209"/>
      <c r="DZ17" s="209"/>
      <c r="EA17" s="209"/>
      <c r="EB17" s="209"/>
      <c r="EC17" s="209"/>
      <c r="ED17" s="209"/>
      <c r="EE17" s="209"/>
      <c r="EF17" s="209"/>
      <c r="EG17" s="209"/>
      <c r="EH17" s="209"/>
      <c r="EI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</row>
    <row r="18" s="187" customFormat="1" ht="18.95" customHeight="1" spans="1:244">
      <c r="A18" s="112" t="s">
        <v>35</v>
      </c>
      <c r="B18" s="54">
        <v>1467</v>
      </c>
      <c r="C18" s="54">
        <v>1548</v>
      </c>
      <c r="D18" s="54">
        <v>1548</v>
      </c>
      <c r="E18" s="54">
        <f t="shared" si="0"/>
        <v>147</v>
      </c>
      <c r="F18" s="54">
        <v>1695</v>
      </c>
      <c r="G18" s="54">
        <f t="shared" si="1"/>
        <v>228</v>
      </c>
      <c r="H18" s="194">
        <f t="shared" si="2"/>
        <v>0.155419222903885</v>
      </c>
      <c r="I18" s="204" t="s">
        <v>36</v>
      </c>
      <c r="J18" s="54">
        <v>30298</v>
      </c>
      <c r="K18" s="54">
        <v>11389</v>
      </c>
      <c r="L18" s="54">
        <v>24069</v>
      </c>
      <c r="M18" s="54">
        <v>-1229</v>
      </c>
      <c r="N18" s="54">
        <f t="shared" si="5"/>
        <v>22840</v>
      </c>
      <c r="O18" s="54">
        <f t="shared" si="3"/>
        <v>-7458</v>
      </c>
      <c r="P18" s="194">
        <f t="shared" si="4"/>
        <v>-0.246154861707043</v>
      </c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209"/>
      <c r="GF18" s="209"/>
      <c r="GG18" s="209"/>
      <c r="GH18" s="209"/>
      <c r="GI18" s="209"/>
      <c r="GJ18" s="209"/>
      <c r="GK18" s="209"/>
      <c r="GL18" s="209"/>
      <c r="GM18" s="209"/>
      <c r="GN18" s="209"/>
      <c r="GO18" s="209"/>
      <c r="GP18" s="209"/>
      <c r="GQ18" s="209"/>
      <c r="GR18" s="209"/>
      <c r="GS18" s="209"/>
      <c r="GT18" s="209"/>
      <c r="GU18" s="209"/>
      <c r="GV18" s="209"/>
      <c r="GW18" s="209"/>
      <c r="GX18" s="209"/>
      <c r="GY18" s="209"/>
      <c r="GZ18" s="209"/>
      <c r="HA18" s="209"/>
      <c r="HB18" s="209"/>
      <c r="HC18" s="209"/>
      <c r="HD18" s="209"/>
      <c r="HE18" s="209"/>
      <c r="HF18" s="209"/>
      <c r="HG18" s="209"/>
      <c r="HH18" s="209"/>
      <c r="HI18" s="209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</row>
    <row r="19" s="187" customFormat="1" ht="18.95" customHeight="1" spans="1:244">
      <c r="A19" s="112" t="s">
        <v>37</v>
      </c>
      <c r="B19" s="54">
        <v>375</v>
      </c>
      <c r="C19" s="54">
        <v>100</v>
      </c>
      <c r="D19" s="54">
        <v>100</v>
      </c>
      <c r="E19" s="54">
        <f t="shared" si="0"/>
        <v>800</v>
      </c>
      <c r="F19" s="54">
        <v>900</v>
      </c>
      <c r="G19" s="54">
        <f t="shared" si="1"/>
        <v>525</v>
      </c>
      <c r="H19" s="194">
        <f t="shared" si="2"/>
        <v>1.4</v>
      </c>
      <c r="I19" s="204" t="s">
        <v>38</v>
      </c>
      <c r="J19" s="54">
        <v>97617</v>
      </c>
      <c r="K19" s="54">
        <v>105032</v>
      </c>
      <c r="L19" s="54">
        <v>117032</v>
      </c>
      <c r="M19" s="54">
        <v>-644.780196</v>
      </c>
      <c r="N19" s="54">
        <f t="shared" si="5"/>
        <v>116387.219804</v>
      </c>
      <c r="O19" s="54">
        <f t="shared" si="3"/>
        <v>18770.219804</v>
      </c>
      <c r="P19" s="194">
        <f t="shared" si="4"/>
        <v>0.192284333712366</v>
      </c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  <c r="DO19" s="209"/>
      <c r="DP19" s="209"/>
      <c r="DQ19" s="209"/>
      <c r="DR19" s="209"/>
      <c r="DS19" s="209"/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209"/>
      <c r="FK19" s="209"/>
      <c r="FL19" s="209"/>
      <c r="FM19" s="209"/>
      <c r="FN19" s="209"/>
      <c r="FO19" s="209"/>
      <c r="FP19" s="209"/>
      <c r="FQ19" s="209"/>
      <c r="FR19" s="209"/>
      <c r="FS19" s="209"/>
      <c r="FT19" s="209"/>
      <c r="FU19" s="209"/>
      <c r="FV19" s="209"/>
      <c r="FW19" s="209"/>
      <c r="FX19" s="209"/>
      <c r="FY19" s="209"/>
      <c r="FZ19" s="209"/>
      <c r="GA19" s="209"/>
      <c r="GB19" s="209"/>
      <c r="GC19" s="209"/>
      <c r="GD19" s="209"/>
      <c r="GE19" s="209"/>
      <c r="GF19" s="209"/>
      <c r="GG19" s="209"/>
      <c r="GH19" s="209"/>
      <c r="GI19" s="209"/>
      <c r="GJ19" s="209"/>
      <c r="GK19" s="209"/>
      <c r="GL19" s="209"/>
      <c r="GM19" s="209"/>
      <c r="GN19" s="209"/>
      <c r="GO19" s="209"/>
      <c r="GP19" s="209"/>
      <c r="GQ19" s="209"/>
      <c r="GR19" s="209"/>
      <c r="GS19" s="209"/>
      <c r="GT19" s="209"/>
      <c r="GU19" s="209"/>
      <c r="GV19" s="209"/>
      <c r="GW19" s="209"/>
      <c r="GX19" s="209"/>
      <c r="GY19" s="209"/>
      <c r="GZ19" s="209"/>
      <c r="HA19" s="209"/>
      <c r="HB19" s="209"/>
      <c r="HC19" s="209"/>
      <c r="HD19" s="209"/>
      <c r="HE19" s="209"/>
      <c r="HF19" s="209"/>
      <c r="HG19" s="209"/>
      <c r="HH19" s="209"/>
      <c r="HI19" s="209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</row>
    <row r="20" s="187" customFormat="1" ht="18.95" customHeight="1" spans="1:244">
      <c r="A20" s="112" t="s">
        <v>39</v>
      </c>
      <c r="B20" s="54">
        <v>6286</v>
      </c>
      <c r="C20" s="54">
        <v>7596</v>
      </c>
      <c r="D20" s="54">
        <v>7596</v>
      </c>
      <c r="E20" s="54">
        <f t="shared" si="0"/>
        <v>-3866</v>
      </c>
      <c r="F20" s="54">
        <v>3730</v>
      </c>
      <c r="G20" s="54">
        <f t="shared" si="1"/>
        <v>-2556</v>
      </c>
      <c r="H20" s="194">
        <f t="shared" si="2"/>
        <v>-0.406617881005409</v>
      </c>
      <c r="I20" s="204" t="s">
        <v>40</v>
      </c>
      <c r="J20" s="54">
        <v>8051</v>
      </c>
      <c r="K20" s="54">
        <v>5237</v>
      </c>
      <c r="L20" s="54">
        <v>6737</v>
      </c>
      <c r="M20" s="54">
        <v>-10</v>
      </c>
      <c r="N20" s="54">
        <f t="shared" si="5"/>
        <v>6727</v>
      </c>
      <c r="O20" s="54">
        <f t="shared" si="3"/>
        <v>-1324</v>
      </c>
      <c r="P20" s="194">
        <f t="shared" si="4"/>
        <v>-0.164451620916656</v>
      </c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09"/>
      <c r="EI20" s="209"/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09"/>
      <c r="FG20" s="209"/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09"/>
      <c r="GE20" s="209"/>
      <c r="GF20" s="209"/>
      <c r="GG20" s="209"/>
      <c r="GH20" s="209"/>
      <c r="GI20" s="209"/>
      <c r="GJ20" s="209"/>
      <c r="GK20" s="209"/>
      <c r="GL20" s="209"/>
      <c r="GM20" s="209"/>
      <c r="GN20" s="209"/>
      <c r="GO20" s="209"/>
      <c r="GP20" s="209"/>
      <c r="GQ20" s="209"/>
      <c r="GR20" s="209"/>
      <c r="GS20" s="209"/>
      <c r="GT20" s="209"/>
      <c r="GU20" s="209"/>
      <c r="GV20" s="209"/>
      <c r="GW20" s="209"/>
      <c r="GX20" s="209"/>
      <c r="GY20" s="209"/>
      <c r="GZ20" s="209"/>
      <c r="HA20" s="209"/>
      <c r="HB20" s="209"/>
      <c r="HC20" s="209"/>
      <c r="HD20" s="209"/>
      <c r="HE20" s="209"/>
      <c r="HF20" s="209"/>
      <c r="HG20" s="209"/>
      <c r="HH20" s="209"/>
      <c r="HI20" s="209"/>
      <c r="HJ20" s="210"/>
      <c r="HK20" s="210"/>
      <c r="HL20" s="210"/>
      <c r="HM20" s="210"/>
      <c r="HN20" s="210"/>
      <c r="HO20" s="210"/>
      <c r="HP20" s="210"/>
      <c r="HQ20" s="210"/>
      <c r="HR20" s="210"/>
      <c r="HS20" s="210"/>
      <c r="HT20" s="210"/>
      <c r="HU20" s="210"/>
      <c r="HV20" s="210"/>
      <c r="HW20" s="210"/>
      <c r="HX20" s="210"/>
      <c r="HY20" s="210"/>
      <c r="HZ20" s="210"/>
      <c r="IA20" s="210"/>
      <c r="IB20" s="210"/>
      <c r="IC20" s="210"/>
      <c r="ID20" s="210"/>
      <c r="IE20" s="210"/>
      <c r="IF20" s="210"/>
      <c r="IG20" s="210"/>
      <c r="IH20" s="210"/>
      <c r="II20" s="210"/>
      <c r="IJ20" s="210"/>
    </row>
    <row r="21" s="187" customFormat="1" ht="18.95" customHeight="1" spans="1:244">
      <c r="A21" s="112" t="s">
        <v>41</v>
      </c>
      <c r="B21" s="54">
        <v>459</v>
      </c>
      <c r="C21" s="54">
        <v>490</v>
      </c>
      <c r="D21" s="54">
        <v>490</v>
      </c>
      <c r="E21" s="54">
        <f t="shared" si="0"/>
        <v>510</v>
      </c>
      <c r="F21" s="54">
        <v>1000</v>
      </c>
      <c r="G21" s="54">
        <f t="shared" si="1"/>
        <v>541</v>
      </c>
      <c r="H21" s="194">
        <f t="shared" si="2"/>
        <v>1.17864923747277</v>
      </c>
      <c r="I21" s="204" t="s">
        <v>42</v>
      </c>
      <c r="J21" s="54">
        <v>923</v>
      </c>
      <c r="K21" s="54">
        <v>415</v>
      </c>
      <c r="L21" s="54">
        <v>415</v>
      </c>
      <c r="M21" s="54">
        <v>-10</v>
      </c>
      <c r="N21" s="54">
        <f t="shared" si="5"/>
        <v>405</v>
      </c>
      <c r="O21" s="54">
        <f t="shared" si="3"/>
        <v>-518</v>
      </c>
      <c r="P21" s="194">
        <f t="shared" si="4"/>
        <v>-0.561213434452871</v>
      </c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209"/>
      <c r="CH21" s="209"/>
      <c r="CI21" s="209"/>
      <c r="CJ21" s="209"/>
      <c r="CK21" s="209"/>
      <c r="CL21" s="209"/>
      <c r="CM21" s="209"/>
      <c r="CN21" s="209"/>
      <c r="CO21" s="209"/>
      <c r="CP21" s="209"/>
      <c r="CQ21" s="209"/>
      <c r="CR21" s="209"/>
      <c r="CS21" s="209"/>
      <c r="CT21" s="209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09"/>
      <c r="DF21" s="209"/>
      <c r="DG21" s="209"/>
      <c r="DH21" s="209"/>
      <c r="DI21" s="209"/>
      <c r="DJ21" s="209"/>
      <c r="DK21" s="209"/>
      <c r="DL21" s="209"/>
      <c r="DM21" s="209"/>
      <c r="DN21" s="209"/>
      <c r="DO21" s="209"/>
      <c r="DP21" s="209"/>
      <c r="DQ21" s="209"/>
      <c r="DR21" s="209"/>
      <c r="DS21" s="209"/>
      <c r="DT21" s="209"/>
      <c r="DU21" s="209"/>
      <c r="DV21" s="209"/>
      <c r="DW21" s="209"/>
      <c r="DX21" s="209"/>
      <c r="DY21" s="209"/>
      <c r="DZ21" s="209"/>
      <c r="EA21" s="209"/>
      <c r="EB21" s="209"/>
      <c r="EC21" s="209"/>
      <c r="ED21" s="209"/>
      <c r="EE21" s="209"/>
      <c r="EF21" s="209"/>
      <c r="EG21" s="209"/>
      <c r="EH21" s="209"/>
      <c r="EI21" s="209"/>
      <c r="EJ21" s="209"/>
      <c r="EK21" s="209"/>
      <c r="EL21" s="209"/>
      <c r="EM21" s="209"/>
      <c r="EN21" s="209"/>
      <c r="EO21" s="209"/>
      <c r="EP21" s="209"/>
      <c r="EQ21" s="209"/>
      <c r="ER21" s="209"/>
      <c r="ES21" s="209"/>
      <c r="ET21" s="209"/>
      <c r="EU21" s="209"/>
      <c r="EV21" s="209"/>
      <c r="EW21" s="209"/>
      <c r="EX21" s="209"/>
      <c r="EY21" s="209"/>
      <c r="EZ21" s="209"/>
      <c r="FA21" s="209"/>
      <c r="FB21" s="209"/>
      <c r="FC21" s="209"/>
      <c r="FD21" s="209"/>
      <c r="FE21" s="209"/>
      <c r="FF21" s="209"/>
      <c r="FG21" s="209"/>
      <c r="FH21" s="209"/>
      <c r="FI21" s="209"/>
      <c r="FJ21" s="209"/>
      <c r="FK21" s="209"/>
      <c r="FL21" s="209"/>
      <c r="FM21" s="209"/>
      <c r="FN21" s="209"/>
      <c r="FO21" s="209"/>
      <c r="FP21" s="209"/>
      <c r="FQ21" s="209"/>
      <c r="FR21" s="209"/>
      <c r="FS21" s="209"/>
      <c r="FT21" s="209"/>
      <c r="FU21" s="209"/>
      <c r="FV21" s="209"/>
      <c r="FW21" s="209"/>
      <c r="FX21" s="209"/>
      <c r="FY21" s="209"/>
      <c r="FZ21" s="209"/>
      <c r="GA21" s="209"/>
      <c r="GB21" s="209"/>
      <c r="GC21" s="209"/>
      <c r="GD21" s="209"/>
      <c r="GE21" s="209"/>
      <c r="GF21" s="209"/>
      <c r="GG21" s="209"/>
      <c r="GH21" s="209"/>
      <c r="GI21" s="209"/>
      <c r="GJ21" s="209"/>
      <c r="GK21" s="209"/>
      <c r="GL21" s="209"/>
      <c r="GM21" s="209"/>
      <c r="GN21" s="209"/>
      <c r="GO21" s="209"/>
      <c r="GP21" s="209"/>
      <c r="GQ21" s="209"/>
      <c r="GR21" s="209"/>
      <c r="GS21" s="209"/>
      <c r="GT21" s="209"/>
      <c r="GU21" s="209"/>
      <c r="GV21" s="209"/>
      <c r="GW21" s="209"/>
      <c r="GX21" s="209"/>
      <c r="GY21" s="209"/>
      <c r="GZ21" s="209"/>
      <c r="HA21" s="209"/>
      <c r="HB21" s="209"/>
      <c r="HC21" s="209"/>
      <c r="HD21" s="209"/>
      <c r="HE21" s="209"/>
      <c r="HF21" s="209"/>
      <c r="HG21" s="209"/>
      <c r="HH21" s="209"/>
      <c r="HI21" s="209"/>
      <c r="HJ21" s="210"/>
      <c r="HK21" s="210"/>
      <c r="HL21" s="210"/>
      <c r="HM21" s="210"/>
      <c r="HN21" s="210"/>
      <c r="HO21" s="210"/>
      <c r="HP21" s="210"/>
      <c r="HQ21" s="210"/>
      <c r="HR21" s="210"/>
      <c r="HS21" s="210"/>
      <c r="HT21" s="210"/>
      <c r="HU21" s="210"/>
      <c r="HV21" s="210"/>
      <c r="HW21" s="210"/>
      <c r="HX21" s="210"/>
      <c r="HY21" s="210"/>
      <c r="HZ21" s="210"/>
      <c r="IA21" s="210"/>
      <c r="IB21" s="210"/>
      <c r="IC21" s="210"/>
      <c r="ID21" s="210"/>
      <c r="IE21" s="210"/>
      <c r="IF21" s="210"/>
      <c r="IG21" s="210"/>
      <c r="IH21" s="210"/>
      <c r="II21" s="210"/>
      <c r="IJ21" s="210"/>
    </row>
    <row r="22" s="187" customFormat="1" ht="18.95" customHeight="1" spans="1:244">
      <c r="A22" s="112" t="s">
        <v>43</v>
      </c>
      <c r="B22" s="54">
        <v>1571</v>
      </c>
      <c r="C22" s="54">
        <v>1616</v>
      </c>
      <c r="D22" s="54">
        <v>1616</v>
      </c>
      <c r="E22" s="54">
        <v>-1616</v>
      </c>
      <c r="F22" s="54">
        <v>0</v>
      </c>
      <c r="G22" s="54">
        <f t="shared" si="1"/>
        <v>-1571</v>
      </c>
      <c r="H22" s="194">
        <f t="shared" si="2"/>
        <v>-1</v>
      </c>
      <c r="I22" s="204" t="s">
        <v>44</v>
      </c>
      <c r="J22" s="54">
        <v>202</v>
      </c>
      <c r="K22" s="54">
        <v>178</v>
      </c>
      <c r="L22" s="54">
        <v>178</v>
      </c>
      <c r="M22" s="54"/>
      <c r="N22" s="54">
        <f t="shared" si="5"/>
        <v>178</v>
      </c>
      <c r="O22" s="54">
        <f t="shared" si="3"/>
        <v>-24</v>
      </c>
      <c r="P22" s="194">
        <f t="shared" si="4"/>
        <v>-0.118811881188119</v>
      </c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09"/>
      <c r="BT22" s="209"/>
      <c r="BU22" s="209"/>
      <c r="BV22" s="209"/>
      <c r="BW22" s="209"/>
      <c r="BX22" s="209"/>
      <c r="BY22" s="209"/>
      <c r="BZ22" s="209"/>
      <c r="CA22" s="209"/>
      <c r="CB22" s="209"/>
      <c r="CC22" s="209"/>
      <c r="CD22" s="209"/>
      <c r="CE22" s="209"/>
      <c r="CF22" s="209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09"/>
      <c r="CY22" s="209"/>
      <c r="CZ22" s="209"/>
      <c r="DA22" s="209"/>
      <c r="DB22" s="209"/>
      <c r="DC22" s="209"/>
      <c r="DD22" s="209"/>
      <c r="DE22" s="209"/>
      <c r="DF22" s="209"/>
      <c r="DG22" s="209"/>
      <c r="DH22" s="209"/>
      <c r="DI22" s="209"/>
      <c r="DJ22" s="209"/>
      <c r="DK22" s="209"/>
      <c r="DL22" s="209"/>
      <c r="DM22" s="209"/>
      <c r="DN22" s="209"/>
      <c r="DO22" s="209"/>
      <c r="DP22" s="209"/>
      <c r="DQ22" s="209"/>
      <c r="DR22" s="209"/>
      <c r="DS22" s="209"/>
      <c r="DT22" s="209"/>
      <c r="DU22" s="209"/>
      <c r="DV22" s="209"/>
      <c r="DW22" s="209"/>
      <c r="DX22" s="209"/>
      <c r="DY22" s="209"/>
      <c r="DZ22" s="209"/>
      <c r="EA22" s="209"/>
      <c r="EB22" s="209"/>
      <c r="EC22" s="209"/>
      <c r="ED22" s="209"/>
      <c r="EE22" s="209"/>
      <c r="EF22" s="209"/>
      <c r="EG22" s="209"/>
      <c r="EH22" s="209"/>
      <c r="EI22" s="209"/>
      <c r="EJ22" s="209"/>
      <c r="EK22" s="209"/>
      <c r="EL22" s="209"/>
      <c r="EM22" s="209"/>
      <c r="EN22" s="209"/>
      <c r="EO22" s="209"/>
      <c r="EP22" s="209"/>
      <c r="EQ22" s="209"/>
      <c r="ER22" s="209"/>
      <c r="ES22" s="209"/>
      <c r="ET22" s="209"/>
      <c r="EU22" s="209"/>
      <c r="EV22" s="209"/>
      <c r="EW22" s="209"/>
      <c r="EX22" s="209"/>
      <c r="EY22" s="209"/>
      <c r="EZ22" s="209"/>
      <c r="FA22" s="209"/>
      <c r="FB22" s="209"/>
      <c r="FC22" s="209"/>
      <c r="FD22" s="209"/>
      <c r="FE22" s="209"/>
      <c r="FF22" s="209"/>
      <c r="FG22" s="209"/>
      <c r="FH22" s="209"/>
      <c r="FI22" s="209"/>
      <c r="FJ22" s="209"/>
      <c r="FK22" s="209"/>
      <c r="FL22" s="209"/>
      <c r="FM22" s="209"/>
      <c r="FN22" s="209"/>
      <c r="FO22" s="209"/>
      <c r="FP22" s="209"/>
      <c r="FQ22" s="209"/>
      <c r="FR22" s="209"/>
      <c r="FS22" s="209"/>
      <c r="FT22" s="209"/>
      <c r="FU22" s="209"/>
      <c r="FV22" s="209"/>
      <c r="FW22" s="209"/>
      <c r="FX22" s="209"/>
      <c r="FY22" s="209"/>
      <c r="FZ22" s="209"/>
      <c r="GA22" s="209"/>
      <c r="GB22" s="209"/>
      <c r="GC22" s="209"/>
      <c r="GD22" s="209"/>
      <c r="GE22" s="209"/>
      <c r="GF22" s="209"/>
      <c r="GG22" s="209"/>
      <c r="GH22" s="209"/>
      <c r="GI22" s="209"/>
      <c r="GJ22" s="209"/>
      <c r="GK22" s="209"/>
      <c r="GL22" s="209"/>
      <c r="GM22" s="209"/>
      <c r="GN22" s="209"/>
      <c r="GO22" s="209"/>
      <c r="GP22" s="209"/>
      <c r="GQ22" s="209"/>
      <c r="GR22" s="209"/>
      <c r="GS22" s="209"/>
      <c r="GT22" s="209"/>
      <c r="GU22" s="209"/>
      <c r="GV22" s="209"/>
      <c r="GW22" s="209"/>
      <c r="GX22" s="209"/>
      <c r="GY22" s="209"/>
      <c r="GZ22" s="209"/>
      <c r="HA22" s="209"/>
      <c r="HB22" s="209"/>
      <c r="HC22" s="209"/>
      <c r="HD22" s="209"/>
      <c r="HE22" s="209"/>
      <c r="HF22" s="209"/>
      <c r="HG22" s="209"/>
      <c r="HH22" s="209"/>
      <c r="HI22" s="209"/>
      <c r="HJ22" s="210"/>
      <c r="HK22" s="210"/>
      <c r="HL22" s="210"/>
      <c r="HM22" s="210"/>
      <c r="HN22" s="210"/>
      <c r="HO22" s="210"/>
      <c r="HP22" s="210"/>
      <c r="HQ22" s="210"/>
      <c r="HR22" s="210"/>
      <c r="HS22" s="210"/>
      <c r="HT22" s="210"/>
      <c r="HU22" s="210"/>
      <c r="HV22" s="210"/>
      <c r="HW22" s="210"/>
      <c r="HX22" s="210"/>
      <c r="HY22" s="210"/>
      <c r="HZ22" s="210"/>
      <c r="IA22" s="210"/>
      <c r="IB22" s="210"/>
      <c r="IC22" s="210"/>
      <c r="ID22" s="210"/>
      <c r="IE22" s="210"/>
      <c r="IF22" s="210"/>
      <c r="IG22" s="210"/>
      <c r="IH22" s="210"/>
      <c r="II22" s="210"/>
      <c r="IJ22" s="210"/>
    </row>
    <row r="23" s="187" customFormat="1" ht="18.95" customHeight="1" spans="1:244">
      <c r="A23" s="112" t="s">
        <v>45</v>
      </c>
      <c r="B23" s="54">
        <v>35</v>
      </c>
      <c r="C23" s="54"/>
      <c r="D23" s="54"/>
      <c r="E23" s="54">
        <f t="shared" si="0"/>
        <v>9</v>
      </c>
      <c r="F23" s="54">
        <v>9</v>
      </c>
      <c r="G23" s="54">
        <f t="shared" si="1"/>
        <v>-26</v>
      </c>
      <c r="H23" s="194">
        <f t="shared" si="2"/>
        <v>-0.742857142857143</v>
      </c>
      <c r="I23" s="205" t="s">
        <v>46</v>
      </c>
      <c r="J23" s="54"/>
      <c r="K23" s="54"/>
      <c r="L23" s="54">
        <v>0</v>
      </c>
      <c r="M23" s="54"/>
      <c r="N23" s="54">
        <f t="shared" si="5"/>
        <v>0</v>
      </c>
      <c r="O23" s="54">
        <f t="shared" si="3"/>
        <v>0</v>
      </c>
      <c r="P23" s="194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  <c r="BZ23" s="209"/>
      <c r="CA23" s="209"/>
      <c r="CB23" s="209"/>
      <c r="CC23" s="209"/>
      <c r="CD23" s="209"/>
      <c r="CE23" s="209"/>
      <c r="CF23" s="209"/>
      <c r="CG23" s="209"/>
      <c r="CH23" s="209"/>
      <c r="CI23" s="209"/>
      <c r="CJ23" s="209"/>
      <c r="CK23" s="209"/>
      <c r="CL23" s="209"/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09"/>
      <c r="DA23" s="209"/>
      <c r="DB23" s="209"/>
      <c r="DC23" s="209"/>
      <c r="DD23" s="209"/>
      <c r="DE23" s="209"/>
      <c r="DF23" s="209"/>
      <c r="DG23" s="209"/>
      <c r="DH23" s="209"/>
      <c r="DI23" s="209"/>
      <c r="DJ23" s="209"/>
      <c r="DK23" s="209"/>
      <c r="DL23" s="209"/>
      <c r="DM23" s="209"/>
      <c r="DN23" s="209"/>
      <c r="DO23" s="209"/>
      <c r="DP23" s="209"/>
      <c r="DQ23" s="209"/>
      <c r="DR23" s="209"/>
      <c r="DS23" s="209"/>
      <c r="DT23" s="209"/>
      <c r="DU23" s="209"/>
      <c r="DV23" s="209"/>
      <c r="DW23" s="209"/>
      <c r="DX23" s="209"/>
      <c r="DY23" s="209"/>
      <c r="DZ23" s="209"/>
      <c r="EA23" s="209"/>
      <c r="EB23" s="209"/>
      <c r="EC23" s="209"/>
      <c r="ED23" s="209"/>
      <c r="EE23" s="209"/>
      <c r="EF23" s="209"/>
      <c r="EG23" s="209"/>
      <c r="EH23" s="209"/>
      <c r="EI23" s="209"/>
      <c r="EJ23" s="209"/>
      <c r="EK23" s="209"/>
      <c r="EL23" s="209"/>
      <c r="EM23" s="209"/>
      <c r="EN23" s="209"/>
      <c r="EO23" s="209"/>
      <c r="EP23" s="209"/>
      <c r="EQ23" s="209"/>
      <c r="ER23" s="209"/>
      <c r="ES23" s="209"/>
      <c r="ET23" s="209"/>
      <c r="EU23" s="209"/>
      <c r="EV23" s="209"/>
      <c r="EW23" s="209"/>
      <c r="EX23" s="209"/>
      <c r="EY23" s="209"/>
      <c r="EZ23" s="209"/>
      <c r="FA23" s="209"/>
      <c r="FB23" s="209"/>
      <c r="FC23" s="209"/>
      <c r="FD23" s="209"/>
      <c r="FE23" s="209"/>
      <c r="FF23" s="209"/>
      <c r="FG23" s="209"/>
      <c r="FH23" s="209"/>
      <c r="FI23" s="209"/>
      <c r="FJ23" s="209"/>
      <c r="FK23" s="209"/>
      <c r="FL23" s="209"/>
      <c r="FM23" s="209"/>
      <c r="FN23" s="209"/>
      <c r="FO23" s="209"/>
      <c r="FP23" s="209"/>
      <c r="FQ23" s="209"/>
      <c r="FR23" s="209"/>
      <c r="FS23" s="209"/>
      <c r="FT23" s="209"/>
      <c r="FU23" s="209"/>
      <c r="FV23" s="209"/>
      <c r="FW23" s="209"/>
      <c r="FX23" s="209"/>
      <c r="FY23" s="209"/>
      <c r="FZ23" s="209"/>
      <c r="GA23" s="209"/>
      <c r="GB23" s="209"/>
      <c r="GC23" s="209"/>
      <c r="GD23" s="209"/>
      <c r="GE23" s="209"/>
      <c r="GF23" s="209"/>
      <c r="GG23" s="209"/>
      <c r="GH23" s="209"/>
      <c r="GI23" s="209"/>
      <c r="GJ23" s="209"/>
      <c r="GK23" s="209"/>
      <c r="GL23" s="209"/>
      <c r="GM23" s="209"/>
      <c r="GN23" s="209"/>
      <c r="GO23" s="209"/>
      <c r="GP23" s="209"/>
      <c r="GQ23" s="209"/>
      <c r="GR23" s="209"/>
      <c r="GS23" s="209"/>
      <c r="GT23" s="209"/>
      <c r="GU23" s="209"/>
      <c r="GV23" s="209"/>
      <c r="GW23" s="209"/>
      <c r="GX23" s="209"/>
      <c r="GY23" s="209"/>
      <c r="GZ23" s="209"/>
      <c r="HA23" s="209"/>
      <c r="HB23" s="209"/>
      <c r="HC23" s="209"/>
      <c r="HD23" s="209"/>
      <c r="HE23" s="209"/>
      <c r="HF23" s="209"/>
      <c r="HG23" s="209"/>
      <c r="HH23" s="209"/>
      <c r="HI23" s="209"/>
      <c r="HJ23" s="210"/>
      <c r="HK23" s="210"/>
      <c r="HL23" s="210"/>
      <c r="HM23" s="210"/>
      <c r="HN23" s="210"/>
      <c r="HO23" s="210"/>
      <c r="HP23" s="210"/>
      <c r="HQ23" s="210"/>
      <c r="HR23" s="210"/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10"/>
      <c r="IJ23" s="210"/>
    </row>
    <row r="24" s="187" customFormat="1" ht="21" customHeight="1" spans="1:244">
      <c r="A24" s="193" t="s">
        <v>47</v>
      </c>
      <c r="B24" s="49">
        <f>SUM(B25:B32)</f>
        <v>29362</v>
      </c>
      <c r="C24" s="49">
        <f>SUM(C25:C32)</f>
        <v>43550</v>
      </c>
      <c r="D24" s="49">
        <f>SUM(D25:D32)</f>
        <v>43550</v>
      </c>
      <c r="E24" s="49">
        <f t="shared" si="0"/>
        <v>3449.63</v>
      </c>
      <c r="F24" s="49">
        <f>SUM(F25:F32)</f>
        <v>46999.63</v>
      </c>
      <c r="G24" s="49">
        <f t="shared" si="1"/>
        <v>17637.63</v>
      </c>
      <c r="H24" s="192">
        <f t="shared" si="2"/>
        <v>0.600695797289013</v>
      </c>
      <c r="I24" s="205" t="s">
        <v>48</v>
      </c>
      <c r="J24" s="54"/>
      <c r="K24" s="54"/>
      <c r="L24" s="54">
        <v>0</v>
      </c>
      <c r="M24" s="54"/>
      <c r="N24" s="54">
        <f t="shared" si="5"/>
        <v>0</v>
      </c>
      <c r="O24" s="54">
        <f t="shared" si="3"/>
        <v>0</v>
      </c>
      <c r="P24" s="194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09"/>
      <c r="BS24" s="209"/>
      <c r="BT24" s="209"/>
      <c r="BU24" s="209"/>
      <c r="BV24" s="209"/>
      <c r="BW24" s="209"/>
      <c r="BX24" s="209"/>
      <c r="BY24" s="209"/>
      <c r="BZ24" s="209"/>
      <c r="CA24" s="209"/>
      <c r="CB24" s="209"/>
      <c r="CC24" s="209"/>
      <c r="CD24" s="209"/>
      <c r="CE24" s="209"/>
      <c r="CF24" s="209"/>
      <c r="CG24" s="209"/>
      <c r="CH24" s="209"/>
      <c r="CI24" s="209"/>
      <c r="CJ24" s="209"/>
      <c r="CK24" s="209"/>
      <c r="CL24" s="209"/>
      <c r="CM24" s="209"/>
      <c r="CN24" s="209"/>
      <c r="CO24" s="209"/>
      <c r="CP24" s="209"/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09"/>
      <c r="DC24" s="209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  <c r="DO24" s="209"/>
      <c r="DP24" s="209"/>
      <c r="DQ24" s="209"/>
      <c r="DR24" s="209"/>
      <c r="DS24" s="209"/>
      <c r="DT24" s="209"/>
      <c r="DU24" s="209"/>
      <c r="DV24" s="209"/>
      <c r="DW24" s="209"/>
      <c r="DX24" s="209"/>
      <c r="DY24" s="209"/>
      <c r="DZ24" s="209"/>
      <c r="EA24" s="209"/>
      <c r="EB24" s="209"/>
      <c r="EC24" s="209"/>
      <c r="ED24" s="209"/>
      <c r="EE24" s="209"/>
      <c r="EF24" s="209"/>
      <c r="EG24" s="209"/>
      <c r="EH24" s="209"/>
      <c r="EI24" s="209"/>
      <c r="EJ24" s="209"/>
      <c r="EK24" s="209"/>
      <c r="EL24" s="209"/>
      <c r="EM24" s="209"/>
      <c r="EN24" s="209"/>
      <c r="EO24" s="209"/>
      <c r="EP24" s="209"/>
      <c r="EQ24" s="209"/>
      <c r="ER24" s="209"/>
      <c r="ES24" s="209"/>
      <c r="ET24" s="209"/>
      <c r="EU24" s="209"/>
      <c r="EV24" s="209"/>
      <c r="EW24" s="209"/>
      <c r="EX24" s="209"/>
      <c r="EY24" s="209"/>
      <c r="EZ24" s="209"/>
      <c r="FA24" s="209"/>
      <c r="FB24" s="209"/>
      <c r="FC24" s="209"/>
      <c r="FD24" s="209"/>
      <c r="FE24" s="209"/>
      <c r="FF24" s="209"/>
      <c r="FG24" s="209"/>
      <c r="FH24" s="209"/>
      <c r="FI24" s="209"/>
      <c r="FJ24" s="209"/>
      <c r="FK24" s="209"/>
      <c r="FL24" s="209"/>
      <c r="FM24" s="209"/>
      <c r="FN24" s="209"/>
      <c r="FO24" s="209"/>
      <c r="FP24" s="209"/>
      <c r="FQ24" s="209"/>
      <c r="FR24" s="209"/>
      <c r="FS24" s="209"/>
      <c r="FT24" s="209"/>
      <c r="FU24" s="209"/>
      <c r="FV24" s="209"/>
      <c r="FW24" s="209"/>
      <c r="FX24" s="209"/>
      <c r="FY24" s="209"/>
      <c r="FZ24" s="209"/>
      <c r="GA24" s="209"/>
      <c r="GB24" s="209"/>
      <c r="GC24" s="209"/>
      <c r="GD24" s="209"/>
      <c r="GE24" s="209"/>
      <c r="GF24" s="209"/>
      <c r="GG24" s="209"/>
      <c r="GH24" s="209"/>
      <c r="GI24" s="209"/>
      <c r="GJ24" s="209"/>
      <c r="GK24" s="209"/>
      <c r="GL24" s="209"/>
      <c r="GM24" s="209"/>
      <c r="GN24" s="209"/>
      <c r="GO24" s="209"/>
      <c r="GP24" s="209"/>
      <c r="GQ24" s="209"/>
      <c r="GR24" s="209"/>
      <c r="GS24" s="209"/>
      <c r="GT24" s="209"/>
      <c r="GU24" s="209"/>
      <c r="GV24" s="209"/>
      <c r="GW24" s="209"/>
      <c r="GX24" s="209"/>
      <c r="GY24" s="209"/>
      <c r="GZ24" s="209"/>
      <c r="HA24" s="209"/>
      <c r="HB24" s="209"/>
      <c r="HC24" s="209"/>
      <c r="HD24" s="209"/>
      <c r="HE24" s="209"/>
      <c r="HF24" s="209"/>
      <c r="HG24" s="209"/>
      <c r="HH24" s="209"/>
      <c r="HI24" s="209"/>
      <c r="HJ24" s="210"/>
      <c r="HK24" s="210"/>
      <c r="HL24" s="210"/>
      <c r="HM24" s="210"/>
      <c r="HN24" s="210"/>
      <c r="HO24" s="210"/>
      <c r="HP24" s="210"/>
      <c r="HQ24" s="210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10"/>
      <c r="IJ24" s="210"/>
    </row>
    <row r="25" s="187" customFormat="1" ht="27" customHeight="1" spans="1:244">
      <c r="A25" s="112" t="s">
        <v>49</v>
      </c>
      <c r="B25" s="54">
        <v>7732</v>
      </c>
      <c r="C25" s="54">
        <v>8700</v>
      </c>
      <c r="D25" s="54">
        <v>8700</v>
      </c>
      <c r="E25" s="54">
        <f t="shared" si="0"/>
        <v>73.3899999999994</v>
      </c>
      <c r="F25" s="54">
        <v>8773.39</v>
      </c>
      <c r="G25" s="54">
        <f t="shared" si="1"/>
        <v>1041.39</v>
      </c>
      <c r="H25" s="194">
        <f t="shared" si="2"/>
        <v>0.134685721676151</v>
      </c>
      <c r="I25" s="204" t="s">
        <v>50</v>
      </c>
      <c r="J25" s="54">
        <v>15393</v>
      </c>
      <c r="K25" s="54">
        <v>4983</v>
      </c>
      <c r="L25" s="54">
        <v>4983</v>
      </c>
      <c r="M25" s="54">
        <v>-77</v>
      </c>
      <c r="N25" s="54">
        <f t="shared" si="5"/>
        <v>4906</v>
      </c>
      <c r="O25" s="54">
        <f t="shared" si="3"/>
        <v>-10487</v>
      </c>
      <c r="P25" s="194">
        <f t="shared" si="4"/>
        <v>-0.681283700383291</v>
      </c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09"/>
      <c r="DV25" s="209"/>
      <c r="DW25" s="209"/>
      <c r="DX25" s="209"/>
      <c r="DY25" s="209"/>
      <c r="DZ25" s="209"/>
      <c r="EA25" s="209"/>
      <c r="EB25" s="209"/>
      <c r="EC25" s="209"/>
      <c r="ED25" s="209"/>
      <c r="EE25" s="209"/>
      <c r="EF25" s="209"/>
      <c r="EG25" s="209"/>
      <c r="EH25" s="209"/>
      <c r="EI25" s="209"/>
      <c r="EJ25" s="209"/>
      <c r="EK25" s="209"/>
      <c r="EL25" s="209"/>
      <c r="EM25" s="209"/>
      <c r="EN25" s="209"/>
      <c r="EO25" s="209"/>
      <c r="EP25" s="209"/>
      <c r="EQ25" s="209"/>
      <c r="ER25" s="209"/>
      <c r="ES25" s="209"/>
      <c r="ET25" s="209"/>
      <c r="EU25" s="209"/>
      <c r="EV25" s="209"/>
      <c r="EW25" s="209"/>
      <c r="EX25" s="209"/>
      <c r="EY25" s="209"/>
      <c r="EZ25" s="209"/>
      <c r="FA25" s="209"/>
      <c r="FB25" s="209"/>
      <c r="FC25" s="209"/>
      <c r="FD25" s="209"/>
      <c r="FE25" s="209"/>
      <c r="FF25" s="209"/>
      <c r="FG25" s="209"/>
      <c r="FH25" s="209"/>
      <c r="FI25" s="209"/>
      <c r="FJ25" s="209"/>
      <c r="FK25" s="209"/>
      <c r="FL25" s="209"/>
      <c r="FM25" s="209"/>
      <c r="FN25" s="209"/>
      <c r="FO25" s="209"/>
      <c r="FP25" s="209"/>
      <c r="FQ25" s="209"/>
      <c r="FR25" s="209"/>
      <c r="FS25" s="209"/>
      <c r="FT25" s="209"/>
      <c r="FU25" s="209"/>
      <c r="FV25" s="209"/>
      <c r="FW25" s="209"/>
      <c r="FX25" s="209"/>
      <c r="FY25" s="209"/>
      <c r="FZ25" s="209"/>
      <c r="GA25" s="209"/>
      <c r="GB25" s="209"/>
      <c r="GC25" s="209"/>
      <c r="GD25" s="209"/>
      <c r="GE25" s="209"/>
      <c r="GF25" s="209"/>
      <c r="GG25" s="209"/>
      <c r="GH25" s="209"/>
      <c r="GI25" s="209"/>
      <c r="GJ25" s="209"/>
      <c r="GK25" s="209"/>
      <c r="GL25" s="209"/>
      <c r="GM25" s="209"/>
      <c r="GN25" s="209"/>
      <c r="GO25" s="209"/>
      <c r="GP25" s="209"/>
      <c r="GQ25" s="209"/>
      <c r="GR25" s="209"/>
      <c r="GS25" s="209"/>
      <c r="GT25" s="209"/>
      <c r="GU25" s="209"/>
      <c r="GV25" s="209"/>
      <c r="GW25" s="209"/>
      <c r="GX25" s="209"/>
      <c r="GY25" s="209"/>
      <c r="GZ25" s="209"/>
      <c r="HA25" s="209"/>
      <c r="HB25" s="209"/>
      <c r="HC25" s="209"/>
      <c r="HD25" s="209"/>
      <c r="HE25" s="209"/>
      <c r="HF25" s="209"/>
      <c r="HG25" s="209"/>
      <c r="HH25" s="209"/>
      <c r="HI25" s="209"/>
      <c r="HJ25" s="210"/>
      <c r="HK25" s="210"/>
      <c r="HL25" s="210"/>
      <c r="HM25" s="210"/>
      <c r="HN25" s="210"/>
      <c r="HO25" s="210"/>
      <c r="HP25" s="210"/>
      <c r="HQ25" s="210"/>
      <c r="HR25" s="210"/>
      <c r="HS25" s="210"/>
      <c r="HT25" s="210"/>
      <c r="HU25" s="210"/>
      <c r="HV25" s="210"/>
      <c r="HW25" s="210"/>
      <c r="HX25" s="210"/>
      <c r="HY25" s="210"/>
      <c r="HZ25" s="210"/>
      <c r="IA25" s="210"/>
      <c r="IB25" s="210"/>
      <c r="IC25" s="210"/>
      <c r="ID25" s="210"/>
      <c r="IE25" s="210"/>
      <c r="IF25" s="210"/>
      <c r="IG25" s="210"/>
      <c r="IH25" s="210"/>
      <c r="II25" s="210"/>
      <c r="IJ25" s="210"/>
    </row>
    <row r="26" s="187" customFormat="1" ht="17.1" customHeight="1" spans="1:244">
      <c r="A26" s="112" t="s">
        <v>51</v>
      </c>
      <c r="B26" s="54">
        <v>6244</v>
      </c>
      <c r="C26" s="54">
        <v>5000</v>
      </c>
      <c r="D26" s="54">
        <v>5000</v>
      </c>
      <c r="E26" s="54">
        <f t="shared" si="0"/>
        <v>2725.46</v>
      </c>
      <c r="F26" s="54">
        <v>7725.46</v>
      </c>
      <c r="G26" s="54">
        <f t="shared" si="1"/>
        <v>1481.46</v>
      </c>
      <c r="H26" s="194">
        <f t="shared" si="2"/>
        <v>0.237261370916079</v>
      </c>
      <c r="I26" s="204" t="s">
        <v>52</v>
      </c>
      <c r="J26" s="54">
        <v>15429</v>
      </c>
      <c r="K26" s="54">
        <v>19245</v>
      </c>
      <c r="L26" s="54">
        <v>19245</v>
      </c>
      <c r="M26" s="54">
        <v>-4</v>
      </c>
      <c r="N26" s="54">
        <f t="shared" si="5"/>
        <v>19241</v>
      </c>
      <c r="O26" s="54">
        <f t="shared" si="3"/>
        <v>3812</v>
      </c>
      <c r="P26" s="194">
        <f t="shared" si="4"/>
        <v>0.247067211095988</v>
      </c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09"/>
      <c r="CH26" s="209"/>
      <c r="CI26" s="209"/>
      <c r="CJ26" s="209"/>
      <c r="CK26" s="209"/>
      <c r="CL26" s="209"/>
      <c r="CM26" s="209"/>
      <c r="CN26" s="209"/>
      <c r="CO26" s="209"/>
      <c r="CP26" s="209"/>
      <c r="CQ26" s="209"/>
      <c r="CR26" s="209"/>
      <c r="CS26" s="209"/>
      <c r="CT26" s="209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09"/>
      <c r="DF26" s="209"/>
      <c r="DG26" s="209"/>
      <c r="DH26" s="209"/>
      <c r="DI26" s="209"/>
      <c r="DJ26" s="209"/>
      <c r="DK26" s="209"/>
      <c r="DL26" s="209"/>
      <c r="DM26" s="209"/>
      <c r="DN26" s="209"/>
      <c r="DO26" s="209"/>
      <c r="DP26" s="209"/>
      <c r="DQ26" s="209"/>
      <c r="DR26" s="209"/>
      <c r="DS26" s="209"/>
      <c r="DT26" s="209"/>
      <c r="DU26" s="209"/>
      <c r="DV26" s="209"/>
      <c r="DW26" s="209"/>
      <c r="DX26" s="209"/>
      <c r="DY26" s="209"/>
      <c r="DZ26" s="209"/>
      <c r="EA26" s="209"/>
      <c r="EB26" s="209"/>
      <c r="EC26" s="209"/>
      <c r="ED26" s="209"/>
      <c r="EE26" s="209"/>
      <c r="EF26" s="209"/>
      <c r="EG26" s="209"/>
      <c r="EH26" s="209"/>
      <c r="EI26" s="209"/>
      <c r="EJ26" s="209"/>
      <c r="EK26" s="209"/>
      <c r="EL26" s="209"/>
      <c r="EM26" s="209"/>
      <c r="EN26" s="209"/>
      <c r="EO26" s="209"/>
      <c r="EP26" s="209"/>
      <c r="EQ26" s="209"/>
      <c r="ER26" s="209"/>
      <c r="ES26" s="209"/>
      <c r="ET26" s="209"/>
      <c r="EU26" s="209"/>
      <c r="EV26" s="209"/>
      <c r="EW26" s="209"/>
      <c r="EX26" s="209"/>
      <c r="EY26" s="209"/>
      <c r="EZ26" s="209"/>
      <c r="FA26" s="209"/>
      <c r="FB26" s="209"/>
      <c r="FC26" s="209"/>
      <c r="FD26" s="209"/>
      <c r="FE26" s="209"/>
      <c r="FF26" s="209"/>
      <c r="FG26" s="209"/>
      <c r="FH26" s="209"/>
      <c r="FI26" s="209"/>
      <c r="FJ26" s="209"/>
      <c r="FK26" s="209"/>
      <c r="FL26" s="209"/>
      <c r="FM26" s="209"/>
      <c r="FN26" s="209"/>
      <c r="FO26" s="209"/>
      <c r="FP26" s="209"/>
      <c r="FQ26" s="209"/>
      <c r="FR26" s="209"/>
      <c r="FS26" s="209"/>
      <c r="FT26" s="209"/>
      <c r="FU26" s="209"/>
      <c r="FV26" s="209"/>
      <c r="FW26" s="209"/>
      <c r="FX26" s="209"/>
      <c r="FY26" s="209"/>
      <c r="FZ26" s="209"/>
      <c r="GA26" s="209"/>
      <c r="GB26" s="209"/>
      <c r="GC26" s="209"/>
      <c r="GD26" s="209"/>
      <c r="GE26" s="209"/>
      <c r="GF26" s="209"/>
      <c r="GG26" s="209"/>
      <c r="GH26" s="209"/>
      <c r="GI26" s="209"/>
      <c r="GJ26" s="209"/>
      <c r="GK26" s="209"/>
      <c r="GL26" s="209"/>
      <c r="GM26" s="209"/>
      <c r="GN26" s="209"/>
      <c r="GO26" s="209"/>
      <c r="GP26" s="209"/>
      <c r="GQ26" s="209"/>
      <c r="GR26" s="209"/>
      <c r="GS26" s="209"/>
      <c r="GT26" s="209"/>
      <c r="GU26" s="209"/>
      <c r="GV26" s="209"/>
      <c r="GW26" s="209"/>
      <c r="GX26" s="209"/>
      <c r="GY26" s="209"/>
      <c r="GZ26" s="209"/>
      <c r="HA26" s="209"/>
      <c r="HB26" s="209"/>
      <c r="HC26" s="209"/>
      <c r="HD26" s="209"/>
      <c r="HE26" s="209"/>
      <c r="HF26" s="209"/>
      <c r="HG26" s="209"/>
      <c r="HH26" s="209"/>
      <c r="HI26" s="209"/>
      <c r="HJ26" s="210"/>
      <c r="HK26" s="210"/>
      <c r="HL26" s="210"/>
      <c r="HM26" s="210"/>
      <c r="HN26" s="210"/>
      <c r="HO26" s="210"/>
      <c r="HP26" s="210"/>
      <c r="HQ26" s="210"/>
      <c r="HR26" s="210"/>
      <c r="HS26" s="210"/>
      <c r="HT26" s="210"/>
      <c r="HU26" s="210"/>
      <c r="HV26" s="210"/>
      <c r="HW26" s="210"/>
      <c r="HX26" s="210"/>
      <c r="HY26" s="210"/>
      <c r="HZ26" s="210"/>
      <c r="IA26" s="210"/>
      <c r="IB26" s="210"/>
      <c r="IC26" s="210"/>
      <c r="ID26" s="210"/>
      <c r="IE26" s="210"/>
      <c r="IF26" s="210"/>
      <c r="IG26" s="210"/>
      <c r="IH26" s="210"/>
      <c r="II26" s="210"/>
      <c r="IJ26" s="210"/>
    </row>
    <row r="27" s="187" customFormat="1" ht="21" customHeight="1" spans="1:244">
      <c r="A27" s="112" t="s">
        <v>53</v>
      </c>
      <c r="B27" s="54">
        <v>3562</v>
      </c>
      <c r="C27" s="54">
        <v>4800</v>
      </c>
      <c r="D27" s="54">
        <v>4800</v>
      </c>
      <c r="E27" s="54">
        <f t="shared" si="0"/>
        <v>260.84</v>
      </c>
      <c r="F27" s="54">
        <v>5060.84</v>
      </c>
      <c r="G27" s="54">
        <f t="shared" si="1"/>
        <v>1498.84</v>
      </c>
      <c r="H27" s="194">
        <f t="shared" si="2"/>
        <v>0.42078607523863</v>
      </c>
      <c r="I27" s="204" t="s">
        <v>54</v>
      </c>
      <c r="J27" s="54">
        <v>832</v>
      </c>
      <c r="K27" s="54"/>
      <c r="L27" s="54">
        <v>0</v>
      </c>
      <c r="M27" s="54"/>
      <c r="N27" s="54">
        <f t="shared" si="5"/>
        <v>0</v>
      </c>
      <c r="O27" s="54">
        <f t="shared" si="3"/>
        <v>-832</v>
      </c>
      <c r="P27" s="194">
        <f t="shared" si="4"/>
        <v>-1</v>
      </c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  <c r="BZ27" s="209"/>
      <c r="CA27" s="209"/>
      <c r="CB27" s="209"/>
      <c r="CC27" s="209"/>
      <c r="CD27" s="209"/>
      <c r="CE27" s="209"/>
      <c r="CF27" s="209"/>
      <c r="CG27" s="209"/>
      <c r="CH27" s="209"/>
      <c r="CI27" s="209"/>
      <c r="CJ27" s="209"/>
      <c r="CK27" s="209"/>
      <c r="CL27" s="209"/>
      <c r="CM27" s="209"/>
      <c r="CN27" s="209"/>
      <c r="CO27" s="209"/>
      <c r="CP27" s="209"/>
      <c r="CQ27" s="209"/>
      <c r="CR27" s="209"/>
      <c r="CS27" s="209"/>
      <c r="CT27" s="209"/>
      <c r="CU27" s="209"/>
      <c r="CV27" s="209"/>
      <c r="CW27" s="209"/>
      <c r="CX27" s="209"/>
      <c r="CY27" s="209"/>
      <c r="CZ27" s="209"/>
      <c r="DA27" s="209"/>
      <c r="DB27" s="209"/>
      <c r="DC27" s="209"/>
      <c r="DD27" s="209"/>
      <c r="DE27" s="209"/>
      <c r="DF27" s="209"/>
      <c r="DG27" s="209"/>
      <c r="DH27" s="209"/>
      <c r="DI27" s="209"/>
      <c r="DJ27" s="209"/>
      <c r="DK27" s="209"/>
      <c r="DL27" s="209"/>
      <c r="DM27" s="209"/>
      <c r="DN27" s="209"/>
      <c r="DO27" s="209"/>
      <c r="DP27" s="209"/>
      <c r="DQ27" s="209"/>
      <c r="DR27" s="209"/>
      <c r="DS27" s="209"/>
      <c r="DT27" s="209"/>
      <c r="DU27" s="209"/>
      <c r="DV27" s="209"/>
      <c r="DW27" s="209"/>
      <c r="DX27" s="209"/>
      <c r="DY27" s="209"/>
      <c r="DZ27" s="209"/>
      <c r="EA27" s="209"/>
      <c r="EB27" s="209"/>
      <c r="EC27" s="209"/>
      <c r="ED27" s="209"/>
      <c r="EE27" s="209"/>
      <c r="EF27" s="209"/>
      <c r="EG27" s="209"/>
      <c r="EH27" s="209"/>
      <c r="EI27" s="209"/>
      <c r="EJ27" s="209"/>
      <c r="EK27" s="209"/>
      <c r="EL27" s="209"/>
      <c r="EM27" s="209"/>
      <c r="EN27" s="209"/>
      <c r="EO27" s="209"/>
      <c r="EP27" s="209"/>
      <c r="EQ27" s="209"/>
      <c r="ER27" s="209"/>
      <c r="ES27" s="209"/>
      <c r="ET27" s="209"/>
      <c r="EU27" s="209"/>
      <c r="EV27" s="209"/>
      <c r="EW27" s="209"/>
      <c r="EX27" s="209"/>
      <c r="EY27" s="209"/>
      <c r="EZ27" s="209"/>
      <c r="FA27" s="209"/>
      <c r="FB27" s="209"/>
      <c r="FC27" s="209"/>
      <c r="FD27" s="209"/>
      <c r="FE27" s="209"/>
      <c r="FF27" s="209"/>
      <c r="FG27" s="209"/>
      <c r="FH27" s="209"/>
      <c r="FI27" s="209"/>
      <c r="FJ27" s="209"/>
      <c r="FK27" s="209"/>
      <c r="FL27" s="209"/>
      <c r="FM27" s="209"/>
      <c r="FN27" s="209"/>
      <c r="FO27" s="209"/>
      <c r="FP27" s="209"/>
      <c r="FQ27" s="209"/>
      <c r="FR27" s="209"/>
      <c r="FS27" s="209"/>
      <c r="FT27" s="209"/>
      <c r="FU27" s="209"/>
      <c r="FV27" s="209"/>
      <c r="FW27" s="209"/>
      <c r="FX27" s="209"/>
      <c r="FY27" s="209"/>
      <c r="FZ27" s="209"/>
      <c r="GA27" s="209"/>
      <c r="GB27" s="209"/>
      <c r="GC27" s="209"/>
      <c r="GD27" s="209"/>
      <c r="GE27" s="209"/>
      <c r="GF27" s="209"/>
      <c r="GG27" s="209"/>
      <c r="GH27" s="209"/>
      <c r="GI27" s="209"/>
      <c r="GJ27" s="209"/>
      <c r="GK27" s="209"/>
      <c r="GL27" s="209"/>
      <c r="GM27" s="209"/>
      <c r="GN27" s="209"/>
      <c r="GO27" s="209"/>
      <c r="GP27" s="209"/>
      <c r="GQ27" s="209"/>
      <c r="GR27" s="209"/>
      <c r="GS27" s="209"/>
      <c r="GT27" s="209"/>
      <c r="GU27" s="209"/>
      <c r="GV27" s="209"/>
      <c r="GW27" s="209"/>
      <c r="GX27" s="209"/>
      <c r="GY27" s="209"/>
      <c r="GZ27" s="209"/>
      <c r="HA27" s="209"/>
      <c r="HB27" s="209"/>
      <c r="HC27" s="209"/>
      <c r="HD27" s="209"/>
      <c r="HE27" s="209"/>
      <c r="HF27" s="209"/>
      <c r="HG27" s="209"/>
      <c r="HH27" s="209"/>
      <c r="HI27" s="209"/>
      <c r="HJ27" s="210"/>
      <c r="HK27" s="210"/>
      <c r="HL27" s="210"/>
      <c r="HM27" s="210"/>
      <c r="HN27" s="210"/>
      <c r="HO27" s="210"/>
      <c r="HP27" s="210"/>
      <c r="HQ27" s="210"/>
      <c r="HR27" s="210"/>
      <c r="HS27" s="210"/>
      <c r="HT27" s="210"/>
      <c r="HU27" s="210"/>
      <c r="HV27" s="210"/>
      <c r="HW27" s="210"/>
      <c r="HX27" s="210"/>
      <c r="HY27" s="210"/>
      <c r="HZ27" s="210"/>
      <c r="IA27" s="210"/>
      <c r="IB27" s="210"/>
      <c r="IC27" s="210"/>
      <c r="ID27" s="210"/>
      <c r="IE27" s="210"/>
      <c r="IF27" s="210"/>
      <c r="IG27" s="210"/>
      <c r="IH27" s="210"/>
      <c r="II27" s="210"/>
      <c r="IJ27" s="210"/>
    </row>
    <row r="28" s="187" customFormat="1" ht="24" customHeight="1" spans="1:244">
      <c r="A28" s="112" t="s">
        <v>55</v>
      </c>
      <c r="B28" s="54"/>
      <c r="C28" s="54"/>
      <c r="D28" s="54"/>
      <c r="E28" s="54">
        <f t="shared" si="0"/>
        <v>0</v>
      </c>
      <c r="F28" s="54"/>
      <c r="G28" s="54">
        <f t="shared" si="1"/>
        <v>0</v>
      </c>
      <c r="H28" s="194"/>
      <c r="I28" s="204" t="s">
        <v>56</v>
      </c>
      <c r="J28" s="54">
        <v>2134</v>
      </c>
      <c r="K28" s="54">
        <v>1907</v>
      </c>
      <c r="L28" s="54">
        <v>2707</v>
      </c>
      <c r="M28" s="54">
        <v>-40</v>
      </c>
      <c r="N28" s="54">
        <f t="shared" si="5"/>
        <v>2667</v>
      </c>
      <c r="O28" s="54">
        <f t="shared" si="3"/>
        <v>533</v>
      </c>
      <c r="P28" s="194">
        <f t="shared" si="4"/>
        <v>0.249765698219306</v>
      </c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  <c r="BZ28" s="209"/>
      <c r="CA28" s="209"/>
      <c r="CB28" s="209"/>
      <c r="CC28" s="209"/>
      <c r="CD28" s="209"/>
      <c r="CE28" s="209"/>
      <c r="CF28" s="209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09"/>
      <c r="CZ28" s="209"/>
      <c r="DA28" s="209"/>
      <c r="DB28" s="209"/>
      <c r="DC28" s="209"/>
      <c r="DD28" s="209"/>
      <c r="DE28" s="209"/>
      <c r="DF28" s="209"/>
      <c r="DG28" s="209"/>
      <c r="DH28" s="209"/>
      <c r="DI28" s="209"/>
      <c r="DJ28" s="209"/>
      <c r="DK28" s="209"/>
      <c r="DL28" s="209"/>
      <c r="DM28" s="209"/>
      <c r="DN28" s="209"/>
      <c r="DO28" s="209"/>
      <c r="DP28" s="209"/>
      <c r="DQ28" s="209"/>
      <c r="DR28" s="209"/>
      <c r="DS28" s="209"/>
      <c r="DT28" s="209"/>
      <c r="DU28" s="209"/>
      <c r="DV28" s="209"/>
      <c r="DW28" s="209"/>
      <c r="DX28" s="209"/>
      <c r="DY28" s="209"/>
      <c r="DZ28" s="209"/>
      <c r="EA28" s="209"/>
      <c r="EB28" s="209"/>
      <c r="EC28" s="209"/>
      <c r="ED28" s="209"/>
      <c r="EE28" s="209"/>
      <c r="EF28" s="209"/>
      <c r="EG28" s="209"/>
      <c r="EH28" s="209"/>
      <c r="EI28" s="209"/>
      <c r="EJ28" s="209"/>
      <c r="EK28" s="209"/>
      <c r="EL28" s="209"/>
      <c r="EM28" s="209"/>
      <c r="EN28" s="209"/>
      <c r="EO28" s="209"/>
      <c r="EP28" s="209"/>
      <c r="EQ28" s="209"/>
      <c r="ER28" s="209"/>
      <c r="ES28" s="209"/>
      <c r="ET28" s="209"/>
      <c r="EU28" s="209"/>
      <c r="EV28" s="209"/>
      <c r="EW28" s="209"/>
      <c r="EX28" s="209"/>
      <c r="EY28" s="209"/>
      <c r="EZ28" s="209"/>
      <c r="FA28" s="209"/>
      <c r="FB28" s="209"/>
      <c r="FC28" s="209"/>
      <c r="FD28" s="209"/>
      <c r="FE28" s="209"/>
      <c r="FF28" s="209"/>
      <c r="FG28" s="209"/>
      <c r="FH28" s="209"/>
      <c r="FI28" s="209"/>
      <c r="FJ28" s="209"/>
      <c r="FK28" s="209"/>
      <c r="FL28" s="209"/>
      <c r="FM28" s="209"/>
      <c r="FN28" s="209"/>
      <c r="FO28" s="209"/>
      <c r="FP28" s="209"/>
      <c r="FQ28" s="209"/>
      <c r="FR28" s="209"/>
      <c r="FS28" s="209"/>
      <c r="FT28" s="209"/>
      <c r="FU28" s="209"/>
      <c r="FV28" s="209"/>
      <c r="FW28" s="209"/>
      <c r="FX28" s="209"/>
      <c r="FY28" s="209"/>
      <c r="FZ28" s="209"/>
      <c r="GA28" s="209"/>
      <c r="GB28" s="209"/>
      <c r="GC28" s="209"/>
      <c r="GD28" s="209"/>
      <c r="GE28" s="209"/>
      <c r="GF28" s="209"/>
      <c r="GG28" s="209"/>
      <c r="GH28" s="209"/>
      <c r="GI28" s="209"/>
      <c r="GJ28" s="209"/>
      <c r="GK28" s="209"/>
      <c r="GL28" s="209"/>
      <c r="GM28" s="209"/>
      <c r="GN28" s="209"/>
      <c r="GO28" s="209"/>
      <c r="GP28" s="209"/>
      <c r="GQ28" s="209"/>
      <c r="GR28" s="209"/>
      <c r="GS28" s="209"/>
      <c r="GT28" s="209"/>
      <c r="GU28" s="209"/>
      <c r="GV28" s="209"/>
      <c r="GW28" s="209"/>
      <c r="GX28" s="209"/>
      <c r="GY28" s="209"/>
      <c r="GZ28" s="209"/>
      <c r="HA28" s="209"/>
      <c r="HB28" s="209"/>
      <c r="HC28" s="209"/>
      <c r="HD28" s="209"/>
      <c r="HE28" s="209"/>
      <c r="HF28" s="209"/>
      <c r="HG28" s="209"/>
      <c r="HH28" s="209"/>
      <c r="HI28" s="209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</row>
    <row r="29" s="187" customFormat="1" ht="27" customHeight="1" spans="1:244">
      <c r="A29" s="112" t="s">
        <v>57</v>
      </c>
      <c r="B29" s="54">
        <v>10398</v>
      </c>
      <c r="C29" s="54">
        <v>23750</v>
      </c>
      <c r="D29" s="54">
        <v>23750</v>
      </c>
      <c r="E29" s="54">
        <f t="shared" si="0"/>
        <v>1092.07</v>
      </c>
      <c r="F29" s="54">
        <v>24842.07</v>
      </c>
      <c r="G29" s="54">
        <f t="shared" si="1"/>
        <v>14444.07</v>
      </c>
      <c r="H29" s="194">
        <f t="shared" si="2"/>
        <v>1.38912002308136</v>
      </c>
      <c r="I29" s="204" t="s">
        <v>58</v>
      </c>
      <c r="J29" s="54">
        <v>146</v>
      </c>
      <c r="K29" s="54">
        <v>21088</v>
      </c>
      <c r="L29" s="54">
        <v>21154</v>
      </c>
      <c r="M29" s="54">
        <v>-8240</v>
      </c>
      <c r="N29" s="54">
        <f t="shared" si="5"/>
        <v>12914</v>
      </c>
      <c r="O29" s="54">
        <f t="shared" si="3"/>
        <v>12768</v>
      </c>
      <c r="P29" s="194">
        <f t="shared" si="4"/>
        <v>87.4520547945205</v>
      </c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  <c r="BZ29" s="209"/>
      <c r="CA29" s="209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  <c r="DO29" s="209"/>
      <c r="DP29" s="209"/>
      <c r="DQ29" s="209"/>
      <c r="DR29" s="209"/>
      <c r="DS29" s="209"/>
      <c r="DT29" s="209"/>
      <c r="DU29" s="209"/>
      <c r="DV29" s="209"/>
      <c r="DW29" s="209"/>
      <c r="DX29" s="209"/>
      <c r="DY29" s="209"/>
      <c r="DZ29" s="209"/>
      <c r="EA29" s="209"/>
      <c r="EB29" s="209"/>
      <c r="EC29" s="209"/>
      <c r="ED29" s="209"/>
      <c r="EE29" s="209"/>
      <c r="EF29" s="209"/>
      <c r="EG29" s="209"/>
      <c r="EH29" s="209"/>
      <c r="EI29" s="209"/>
      <c r="EJ29" s="209"/>
      <c r="EK29" s="209"/>
      <c r="EL29" s="209"/>
      <c r="EM29" s="209"/>
      <c r="EN29" s="209"/>
      <c r="EO29" s="209"/>
      <c r="EP29" s="209"/>
      <c r="EQ29" s="209"/>
      <c r="ER29" s="209"/>
      <c r="ES29" s="209"/>
      <c r="ET29" s="209"/>
      <c r="EU29" s="209"/>
      <c r="EV29" s="209"/>
      <c r="EW29" s="209"/>
      <c r="EX29" s="209"/>
      <c r="EY29" s="209"/>
      <c r="EZ29" s="209"/>
      <c r="FA29" s="209"/>
      <c r="FB29" s="209"/>
      <c r="FC29" s="209"/>
      <c r="FD29" s="209"/>
      <c r="FE29" s="209"/>
      <c r="FF29" s="209"/>
      <c r="FG29" s="209"/>
      <c r="FH29" s="209"/>
      <c r="FI29" s="209"/>
      <c r="FJ29" s="209"/>
      <c r="FK29" s="209"/>
      <c r="FL29" s="209"/>
      <c r="FM29" s="209"/>
      <c r="FN29" s="209"/>
      <c r="FO29" s="209"/>
      <c r="FP29" s="209"/>
      <c r="FQ29" s="209"/>
      <c r="FR29" s="209"/>
      <c r="FS29" s="209"/>
      <c r="FT29" s="209"/>
      <c r="FU29" s="209"/>
      <c r="FV29" s="209"/>
      <c r="FW29" s="209"/>
      <c r="FX29" s="209"/>
      <c r="FY29" s="209"/>
      <c r="FZ29" s="209"/>
      <c r="GA29" s="209"/>
      <c r="GB29" s="209"/>
      <c r="GC29" s="209"/>
      <c r="GD29" s="209"/>
      <c r="GE29" s="209"/>
      <c r="GF29" s="209"/>
      <c r="GG29" s="209"/>
      <c r="GH29" s="209"/>
      <c r="GI29" s="209"/>
      <c r="GJ29" s="209"/>
      <c r="GK29" s="209"/>
      <c r="GL29" s="209"/>
      <c r="GM29" s="209"/>
      <c r="GN29" s="209"/>
      <c r="GO29" s="209"/>
      <c r="GP29" s="209"/>
      <c r="GQ29" s="209"/>
      <c r="GR29" s="209"/>
      <c r="GS29" s="209"/>
      <c r="GT29" s="209"/>
      <c r="GU29" s="209"/>
      <c r="GV29" s="209"/>
      <c r="GW29" s="209"/>
      <c r="GX29" s="209"/>
      <c r="GY29" s="209"/>
      <c r="GZ29" s="209"/>
      <c r="HA29" s="209"/>
      <c r="HB29" s="209"/>
      <c r="HC29" s="209"/>
      <c r="HD29" s="209"/>
      <c r="HE29" s="209"/>
      <c r="HF29" s="209"/>
      <c r="HG29" s="209"/>
      <c r="HH29" s="209"/>
      <c r="HI29" s="209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</row>
    <row r="30" s="187" customFormat="1" ht="21" customHeight="1" spans="1:244">
      <c r="A30" s="112" t="s">
        <v>59</v>
      </c>
      <c r="B30" s="54">
        <v>155</v>
      </c>
      <c r="C30" s="54">
        <v>200</v>
      </c>
      <c r="D30" s="54">
        <v>200</v>
      </c>
      <c r="E30" s="54">
        <f t="shared" si="0"/>
        <v>-159.89</v>
      </c>
      <c r="F30" s="54">
        <v>40.11</v>
      </c>
      <c r="G30" s="54">
        <f t="shared" si="1"/>
        <v>-114.89</v>
      </c>
      <c r="H30" s="194">
        <f t="shared" si="2"/>
        <v>-0.741225806451613</v>
      </c>
      <c r="I30" s="204" t="s">
        <v>60</v>
      </c>
      <c r="J30" s="54">
        <v>18240</v>
      </c>
      <c r="K30" s="54">
        <v>19000</v>
      </c>
      <c r="L30" s="54">
        <v>19000</v>
      </c>
      <c r="M30" s="54">
        <v>-969</v>
      </c>
      <c r="N30" s="54">
        <f t="shared" si="5"/>
        <v>18031</v>
      </c>
      <c r="O30" s="54">
        <f t="shared" si="3"/>
        <v>-209</v>
      </c>
      <c r="P30" s="194">
        <f t="shared" si="4"/>
        <v>-0.0114583333333333</v>
      </c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  <c r="BZ30" s="209"/>
      <c r="CA30" s="209"/>
      <c r="CB30" s="209"/>
      <c r="CC30" s="209"/>
      <c r="CD30" s="209"/>
      <c r="CE30" s="209"/>
      <c r="CF30" s="209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09"/>
      <c r="CV30" s="209"/>
      <c r="CW30" s="209"/>
      <c r="CX30" s="209"/>
      <c r="CY30" s="209"/>
      <c r="CZ30" s="209"/>
      <c r="DA30" s="209"/>
      <c r="DB30" s="209"/>
      <c r="DC30" s="209"/>
      <c r="DD30" s="209"/>
      <c r="DE30" s="209"/>
      <c r="DF30" s="209"/>
      <c r="DG30" s="209"/>
      <c r="DH30" s="209"/>
      <c r="DI30" s="209"/>
      <c r="DJ30" s="209"/>
      <c r="DK30" s="209"/>
      <c r="DL30" s="209"/>
      <c r="DM30" s="209"/>
      <c r="DN30" s="209"/>
      <c r="DO30" s="209"/>
      <c r="DP30" s="209"/>
      <c r="DQ30" s="209"/>
      <c r="DR30" s="209"/>
      <c r="DS30" s="209"/>
      <c r="DT30" s="209"/>
      <c r="DU30" s="209"/>
      <c r="DV30" s="209"/>
      <c r="DW30" s="209"/>
      <c r="DX30" s="209"/>
      <c r="DY30" s="209"/>
      <c r="DZ30" s="209"/>
      <c r="EA30" s="209"/>
      <c r="EB30" s="209"/>
      <c r="EC30" s="209"/>
      <c r="ED30" s="209"/>
      <c r="EE30" s="209"/>
      <c r="EF30" s="209"/>
      <c r="EG30" s="209"/>
      <c r="EH30" s="209"/>
      <c r="EI30" s="209"/>
      <c r="EJ30" s="209"/>
      <c r="EK30" s="209"/>
      <c r="EL30" s="209"/>
      <c r="EM30" s="209"/>
      <c r="EN30" s="209"/>
      <c r="EO30" s="209"/>
      <c r="EP30" s="209"/>
      <c r="EQ30" s="209"/>
      <c r="ER30" s="209"/>
      <c r="ES30" s="209"/>
      <c r="ET30" s="209"/>
      <c r="EU30" s="209"/>
      <c r="EV30" s="209"/>
      <c r="EW30" s="209"/>
      <c r="EX30" s="209"/>
      <c r="EY30" s="209"/>
      <c r="EZ30" s="209"/>
      <c r="FA30" s="209"/>
      <c r="FB30" s="209"/>
      <c r="FC30" s="209"/>
      <c r="FD30" s="209"/>
      <c r="FE30" s="209"/>
      <c r="FF30" s="209"/>
      <c r="FG30" s="209"/>
      <c r="FH30" s="209"/>
      <c r="FI30" s="209"/>
      <c r="FJ30" s="209"/>
      <c r="FK30" s="209"/>
      <c r="FL30" s="209"/>
      <c r="FM30" s="209"/>
      <c r="FN30" s="209"/>
      <c r="FO30" s="209"/>
      <c r="FP30" s="209"/>
      <c r="FQ30" s="209"/>
      <c r="FR30" s="209"/>
      <c r="FS30" s="209"/>
      <c r="FT30" s="209"/>
      <c r="FU30" s="209"/>
      <c r="FV30" s="209"/>
      <c r="FW30" s="209"/>
      <c r="FX30" s="209"/>
      <c r="FY30" s="209"/>
      <c r="FZ30" s="209"/>
      <c r="GA30" s="209"/>
      <c r="GB30" s="209"/>
      <c r="GC30" s="209"/>
      <c r="GD30" s="209"/>
      <c r="GE30" s="209"/>
      <c r="GF30" s="209"/>
      <c r="GG30" s="209"/>
      <c r="GH30" s="209"/>
      <c r="GI30" s="209"/>
      <c r="GJ30" s="209"/>
      <c r="GK30" s="209"/>
      <c r="GL30" s="209"/>
      <c r="GM30" s="209"/>
      <c r="GN30" s="209"/>
      <c r="GO30" s="209"/>
      <c r="GP30" s="209"/>
      <c r="GQ30" s="209"/>
      <c r="GR30" s="209"/>
      <c r="GS30" s="209"/>
      <c r="GT30" s="209"/>
      <c r="GU30" s="209"/>
      <c r="GV30" s="209"/>
      <c r="GW30" s="209"/>
      <c r="GX30" s="209"/>
      <c r="GY30" s="209"/>
      <c r="GZ30" s="209"/>
      <c r="HA30" s="209"/>
      <c r="HB30" s="209"/>
      <c r="HC30" s="209"/>
      <c r="HD30" s="209"/>
      <c r="HE30" s="209"/>
      <c r="HF30" s="209"/>
      <c r="HG30" s="209"/>
      <c r="HH30" s="209"/>
      <c r="HI30" s="209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</row>
    <row r="31" s="187" customFormat="1" ht="21" customHeight="1" spans="1:244">
      <c r="A31" s="112" t="s">
        <v>61</v>
      </c>
      <c r="B31" s="54">
        <v>1131</v>
      </c>
      <c r="C31" s="54">
        <v>850</v>
      </c>
      <c r="D31" s="54">
        <v>850</v>
      </c>
      <c r="E31" s="54">
        <f t="shared" si="0"/>
        <v>-350.11</v>
      </c>
      <c r="F31" s="54">
        <v>499.89</v>
      </c>
      <c r="G31" s="54">
        <f t="shared" si="1"/>
        <v>-631.11</v>
      </c>
      <c r="H31" s="194">
        <f t="shared" si="2"/>
        <v>-0.558010610079576</v>
      </c>
      <c r="I31" s="204" t="s">
        <v>62</v>
      </c>
      <c r="J31" s="54">
        <v>44</v>
      </c>
      <c r="K31" s="54">
        <v>100</v>
      </c>
      <c r="L31" s="54">
        <v>100</v>
      </c>
      <c r="M31" s="54"/>
      <c r="N31" s="54">
        <f t="shared" si="5"/>
        <v>100</v>
      </c>
      <c r="O31" s="54">
        <f t="shared" si="3"/>
        <v>56</v>
      </c>
      <c r="P31" s="194">
        <f t="shared" si="4"/>
        <v>1.27272727272727</v>
      </c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9"/>
      <c r="CF31" s="209"/>
      <c r="CG31" s="209"/>
      <c r="CH31" s="209"/>
      <c r="CI31" s="209"/>
      <c r="CJ31" s="209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209"/>
      <c r="CV31" s="209"/>
      <c r="CW31" s="209"/>
      <c r="CX31" s="209"/>
      <c r="CY31" s="209"/>
      <c r="CZ31" s="209"/>
      <c r="DA31" s="209"/>
      <c r="DB31" s="209"/>
      <c r="DC31" s="209"/>
      <c r="DD31" s="209"/>
      <c r="DE31" s="209"/>
      <c r="DF31" s="209"/>
      <c r="DG31" s="209"/>
      <c r="DH31" s="209"/>
      <c r="DI31" s="209"/>
      <c r="DJ31" s="209"/>
      <c r="DK31" s="209"/>
      <c r="DL31" s="209"/>
      <c r="DM31" s="209"/>
      <c r="DN31" s="209"/>
      <c r="DO31" s="209"/>
      <c r="DP31" s="209"/>
      <c r="DQ31" s="209"/>
      <c r="DR31" s="209"/>
      <c r="DS31" s="209"/>
      <c r="DT31" s="209"/>
      <c r="DU31" s="209"/>
      <c r="DV31" s="209"/>
      <c r="DW31" s="209"/>
      <c r="DX31" s="209"/>
      <c r="DY31" s="209"/>
      <c r="DZ31" s="209"/>
      <c r="EA31" s="209"/>
      <c r="EB31" s="209"/>
      <c r="EC31" s="209"/>
      <c r="ED31" s="209"/>
      <c r="EE31" s="209"/>
      <c r="EF31" s="209"/>
      <c r="EG31" s="209"/>
      <c r="EH31" s="209"/>
      <c r="EI31" s="209"/>
      <c r="EJ31" s="209"/>
      <c r="EK31" s="209"/>
      <c r="EL31" s="209"/>
      <c r="EM31" s="209"/>
      <c r="EN31" s="209"/>
      <c r="EO31" s="209"/>
      <c r="EP31" s="209"/>
      <c r="EQ31" s="209"/>
      <c r="ER31" s="209"/>
      <c r="ES31" s="209"/>
      <c r="ET31" s="209"/>
      <c r="EU31" s="209"/>
      <c r="EV31" s="209"/>
      <c r="EW31" s="209"/>
      <c r="EX31" s="209"/>
      <c r="EY31" s="209"/>
      <c r="EZ31" s="209"/>
      <c r="FA31" s="209"/>
      <c r="FB31" s="209"/>
      <c r="FC31" s="209"/>
      <c r="FD31" s="209"/>
      <c r="FE31" s="209"/>
      <c r="FF31" s="209"/>
      <c r="FG31" s="209"/>
      <c r="FH31" s="209"/>
      <c r="FI31" s="209"/>
      <c r="FJ31" s="209"/>
      <c r="FK31" s="209"/>
      <c r="FL31" s="209"/>
      <c r="FM31" s="209"/>
      <c r="FN31" s="209"/>
      <c r="FO31" s="209"/>
      <c r="FP31" s="209"/>
      <c r="FQ31" s="209"/>
      <c r="FR31" s="209"/>
      <c r="FS31" s="209"/>
      <c r="FT31" s="209"/>
      <c r="FU31" s="209"/>
      <c r="FV31" s="209"/>
      <c r="FW31" s="209"/>
      <c r="FX31" s="209"/>
      <c r="FY31" s="209"/>
      <c r="FZ31" s="209"/>
      <c r="GA31" s="209"/>
      <c r="GB31" s="209"/>
      <c r="GC31" s="209"/>
      <c r="GD31" s="209"/>
      <c r="GE31" s="209"/>
      <c r="GF31" s="209"/>
      <c r="GG31" s="209"/>
      <c r="GH31" s="209"/>
      <c r="GI31" s="209"/>
      <c r="GJ31" s="209"/>
      <c r="GK31" s="209"/>
      <c r="GL31" s="209"/>
      <c r="GM31" s="209"/>
      <c r="GN31" s="209"/>
      <c r="GO31" s="209"/>
      <c r="GP31" s="209"/>
      <c r="GQ31" s="209"/>
      <c r="GR31" s="209"/>
      <c r="GS31" s="209"/>
      <c r="GT31" s="209"/>
      <c r="GU31" s="209"/>
      <c r="GV31" s="209"/>
      <c r="GW31" s="209"/>
      <c r="GX31" s="209"/>
      <c r="GY31" s="209"/>
      <c r="GZ31" s="209"/>
      <c r="HA31" s="209"/>
      <c r="HB31" s="209"/>
      <c r="HC31" s="209"/>
      <c r="HD31" s="209"/>
      <c r="HE31" s="209"/>
      <c r="HF31" s="209"/>
      <c r="HG31" s="209"/>
      <c r="HH31" s="209"/>
      <c r="HI31" s="209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</row>
    <row r="32" s="187" customFormat="1" ht="21" customHeight="1" spans="1:244">
      <c r="A32" s="112" t="s">
        <v>63</v>
      </c>
      <c r="B32" s="54">
        <v>140</v>
      </c>
      <c r="C32" s="54">
        <v>250</v>
      </c>
      <c r="D32" s="54">
        <v>250</v>
      </c>
      <c r="E32" s="54">
        <f t="shared" si="0"/>
        <v>-192.13</v>
      </c>
      <c r="F32" s="54">
        <v>57.87</v>
      </c>
      <c r="G32" s="54">
        <f t="shared" si="1"/>
        <v>-82.13</v>
      </c>
      <c r="H32" s="194">
        <f t="shared" si="2"/>
        <v>-0.586642857142857</v>
      </c>
      <c r="I32" s="195" t="s">
        <v>64</v>
      </c>
      <c r="J32" s="193"/>
      <c r="K32" s="105">
        <v>5200</v>
      </c>
      <c r="L32" s="105">
        <v>5200</v>
      </c>
      <c r="M32" s="105"/>
      <c r="N32" s="49">
        <f>K32+M32</f>
        <v>5200</v>
      </c>
      <c r="O32" s="49">
        <f t="shared" si="3"/>
        <v>5200</v>
      </c>
      <c r="P32" s="194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209"/>
      <c r="CW32" s="209"/>
      <c r="CX32" s="209"/>
      <c r="CY32" s="209"/>
      <c r="CZ32" s="209"/>
      <c r="DA32" s="209"/>
      <c r="DB32" s="209"/>
      <c r="DC32" s="209"/>
      <c r="DD32" s="209"/>
      <c r="DE32" s="209"/>
      <c r="DF32" s="209"/>
      <c r="DG32" s="209"/>
      <c r="DH32" s="209"/>
      <c r="DI32" s="209"/>
      <c r="DJ32" s="209"/>
      <c r="DK32" s="209"/>
      <c r="DL32" s="209"/>
      <c r="DM32" s="209"/>
      <c r="DN32" s="209"/>
      <c r="DO32" s="209"/>
      <c r="DP32" s="209"/>
      <c r="DQ32" s="209"/>
      <c r="DR32" s="209"/>
      <c r="DS32" s="209"/>
      <c r="DT32" s="209"/>
      <c r="DU32" s="209"/>
      <c r="DV32" s="209"/>
      <c r="DW32" s="209"/>
      <c r="DX32" s="209"/>
      <c r="DY32" s="209"/>
      <c r="DZ32" s="209"/>
      <c r="EA32" s="209"/>
      <c r="EB32" s="209"/>
      <c r="EC32" s="209"/>
      <c r="ED32" s="209"/>
      <c r="EE32" s="209"/>
      <c r="EF32" s="209"/>
      <c r="EG32" s="209"/>
      <c r="EH32" s="209"/>
      <c r="EI32" s="209"/>
      <c r="EJ32" s="209"/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/>
      <c r="EX32" s="209"/>
      <c r="EY32" s="209"/>
      <c r="EZ32" s="209"/>
      <c r="FA32" s="209"/>
      <c r="FB32" s="209"/>
      <c r="FC32" s="209"/>
      <c r="FD32" s="209"/>
      <c r="FE32" s="209"/>
      <c r="FF32" s="209"/>
      <c r="FG32" s="209"/>
      <c r="FH32" s="209"/>
      <c r="FI32" s="209"/>
      <c r="FJ32" s="209"/>
      <c r="FK32" s="209"/>
      <c r="FL32" s="209"/>
      <c r="FM32" s="209"/>
      <c r="FN32" s="209"/>
      <c r="FO32" s="209"/>
      <c r="FP32" s="209"/>
      <c r="FQ32" s="209"/>
      <c r="FR32" s="209"/>
      <c r="FS32" s="209"/>
      <c r="FT32" s="209"/>
      <c r="FU32" s="209"/>
      <c r="FV32" s="209"/>
      <c r="FW32" s="209"/>
      <c r="FX32" s="209"/>
      <c r="FY32" s="209"/>
      <c r="FZ32" s="209"/>
      <c r="GA32" s="209"/>
      <c r="GB32" s="209"/>
      <c r="GC32" s="209"/>
      <c r="GD32" s="209"/>
      <c r="GE32" s="209"/>
      <c r="GF32" s="209"/>
      <c r="GG32" s="209"/>
      <c r="GH32" s="209"/>
      <c r="GI32" s="209"/>
      <c r="GJ32" s="209"/>
      <c r="GK32" s="209"/>
      <c r="GL32" s="209"/>
      <c r="GM32" s="209"/>
      <c r="GN32" s="209"/>
      <c r="GO32" s="209"/>
      <c r="GP32" s="209"/>
      <c r="GQ32" s="209"/>
      <c r="GR32" s="209"/>
      <c r="GS32" s="209"/>
      <c r="GT32" s="209"/>
      <c r="GU32" s="209"/>
      <c r="GV32" s="209"/>
      <c r="GW32" s="209"/>
      <c r="GX32" s="209"/>
      <c r="GY32" s="209"/>
      <c r="GZ32" s="209"/>
      <c r="HA32" s="209"/>
      <c r="HB32" s="209"/>
      <c r="HC32" s="209"/>
      <c r="HD32" s="209"/>
      <c r="HE32" s="209"/>
      <c r="HF32" s="209"/>
      <c r="HG32" s="209"/>
      <c r="HH32" s="209"/>
      <c r="HI32" s="209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</row>
    <row r="33" s="187" customFormat="1" ht="21" customHeight="1" spans="1:244">
      <c r="A33" s="195" t="s">
        <v>65</v>
      </c>
      <c r="B33" s="49">
        <f>B34+B38+B52+B53+B54+B56+B55</f>
        <v>611719</v>
      </c>
      <c r="C33" s="49">
        <f>C34+C38+C52+C53+C54+C56+C55</f>
        <v>484249.28</v>
      </c>
      <c r="D33" s="49">
        <f>D34+D38+D52+D53+D54+D56+D55</f>
        <v>521715.28</v>
      </c>
      <c r="E33" s="49">
        <f>E34+E38+E52+E53+E54+E56+E55</f>
        <v>-471</v>
      </c>
      <c r="F33" s="49">
        <f>F34+F38+F52+F53+F54+F56+F55</f>
        <v>521244.28</v>
      </c>
      <c r="G33" s="49">
        <f t="shared" si="1"/>
        <v>-90474.72</v>
      </c>
      <c r="H33" s="192">
        <f t="shared" si="2"/>
        <v>-0.147902419248053</v>
      </c>
      <c r="I33" s="195" t="s">
        <v>66</v>
      </c>
      <c r="J33" s="105">
        <f>J34+J37+J40+J41+J42</f>
        <v>201616</v>
      </c>
      <c r="K33" s="105">
        <f>K34+K37+K40+K41+K42</f>
        <v>91213</v>
      </c>
      <c r="L33" s="105">
        <f>L34+L37+L40+L41+L42</f>
        <v>91213</v>
      </c>
      <c r="M33" s="105">
        <f>M34+M37+M40+M41+M42</f>
        <v>2710</v>
      </c>
      <c r="N33" s="105">
        <f>N34+N37+N40+N41+N42</f>
        <v>93923</v>
      </c>
      <c r="O33" s="49">
        <f t="shared" si="3"/>
        <v>-107693</v>
      </c>
      <c r="P33" s="192">
        <f t="shared" si="4"/>
        <v>-0.534149075470201</v>
      </c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</row>
    <row r="34" s="187" customFormat="1" ht="21" customHeight="1" spans="1:244">
      <c r="A34" s="195" t="s">
        <v>67</v>
      </c>
      <c r="B34" s="49">
        <f>SUM(B35:B37)</f>
        <v>10738</v>
      </c>
      <c r="C34" s="49">
        <f>SUM(C35:C37)</f>
        <v>10738</v>
      </c>
      <c r="D34" s="49">
        <f>SUM(D35:D37)</f>
        <v>10738</v>
      </c>
      <c r="E34" s="49">
        <f>SUM(E35:E37)</f>
        <v>0</v>
      </c>
      <c r="F34" s="49">
        <f>SUM(F35:F37)</f>
        <v>10738</v>
      </c>
      <c r="G34" s="49">
        <f t="shared" si="1"/>
        <v>0</v>
      </c>
      <c r="H34" s="192">
        <f t="shared" si="2"/>
        <v>0</v>
      </c>
      <c r="I34" s="195" t="s">
        <v>68</v>
      </c>
      <c r="J34" s="105">
        <f>J35+J36</f>
        <v>36672</v>
      </c>
      <c r="K34" s="105">
        <f>K35+K36</f>
        <v>38099</v>
      </c>
      <c r="L34" s="105">
        <f>L35+L36</f>
        <v>38099</v>
      </c>
      <c r="M34" s="105">
        <f>M35+M36</f>
        <v>0</v>
      </c>
      <c r="N34" s="105">
        <f>N35+N36</f>
        <v>38099</v>
      </c>
      <c r="O34" s="49">
        <f t="shared" si="3"/>
        <v>1427</v>
      </c>
      <c r="P34" s="192">
        <f t="shared" si="4"/>
        <v>0.0389125218150087</v>
      </c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09"/>
      <c r="FF34" s="209"/>
      <c r="FG34" s="209"/>
      <c r="FH34" s="209"/>
      <c r="FI34" s="209"/>
      <c r="FJ34" s="209"/>
      <c r="FK34" s="209"/>
      <c r="FL34" s="209"/>
      <c r="FM34" s="209"/>
      <c r="FN34" s="209"/>
      <c r="FO34" s="209"/>
      <c r="FP34" s="209"/>
      <c r="FQ34" s="209"/>
      <c r="FR34" s="209"/>
      <c r="FS34" s="209"/>
      <c r="FT34" s="209"/>
      <c r="FU34" s="209"/>
      <c r="FV34" s="209"/>
      <c r="FW34" s="209"/>
      <c r="FX34" s="209"/>
      <c r="FY34" s="209"/>
      <c r="FZ34" s="209"/>
      <c r="GA34" s="209"/>
      <c r="GB34" s="209"/>
      <c r="GC34" s="209"/>
      <c r="GD34" s="209"/>
      <c r="GE34" s="209"/>
      <c r="GF34" s="209"/>
      <c r="GG34" s="209"/>
      <c r="GH34" s="209"/>
      <c r="GI34" s="209"/>
      <c r="GJ34" s="209"/>
      <c r="GK34" s="209"/>
      <c r="GL34" s="209"/>
      <c r="GM34" s="209"/>
      <c r="GN34" s="209"/>
      <c r="GO34" s="209"/>
      <c r="GP34" s="209"/>
      <c r="GQ34" s="209"/>
      <c r="GR34" s="209"/>
      <c r="GS34" s="209"/>
      <c r="GT34" s="209"/>
      <c r="GU34" s="209"/>
      <c r="GV34" s="209"/>
      <c r="GW34" s="209"/>
      <c r="GX34" s="209"/>
      <c r="GY34" s="209"/>
      <c r="GZ34" s="209"/>
      <c r="HA34" s="209"/>
      <c r="HB34" s="209"/>
      <c r="HC34" s="209"/>
      <c r="HD34" s="209"/>
      <c r="HE34" s="209"/>
      <c r="HF34" s="209"/>
      <c r="HG34" s="209"/>
      <c r="HH34" s="209"/>
      <c r="HI34" s="209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</row>
    <row r="35" s="187" customFormat="1" ht="21" customHeight="1" spans="1:244">
      <c r="A35" s="196" t="s">
        <v>69</v>
      </c>
      <c r="B35" s="197">
        <v>735</v>
      </c>
      <c r="C35" s="197">
        <v>735</v>
      </c>
      <c r="D35" s="197">
        <v>735</v>
      </c>
      <c r="E35" s="197"/>
      <c r="F35" s="197">
        <v>735</v>
      </c>
      <c r="G35" s="54">
        <f t="shared" si="1"/>
        <v>0</v>
      </c>
      <c r="H35" s="54">
        <f t="shared" si="2"/>
        <v>0</v>
      </c>
      <c r="I35" s="196" t="s">
        <v>70</v>
      </c>
      <c r="J35" s="54">
        <v>16354</v>
      </c>
      <c r="K35" s="54">
        <v>11111</v>
      </c>
      <c r="L35" s="54">
        <v>11111</v>
      </c>
      <c r="M35" s="54"/>
      <c r="N35" s="54">
        <f t="shared" ref="N35:N42" si="6">K35+M35</f>
        <v>11111</v>
      </c>
      <c r="O35" s="54">
        <f t="shared" si="3"/>
        <v>-5243</v>
      </c>
      <c r="P35" s="194">
        <f t="shared" si="4"/>
        <v>-0.320594350006115</v>
      </c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  <c r="BZ35" s="209"/>
      <c r="CA35" s="209"/>
      <c r="CB35" s="209"/>
      <c r="CC35" s="209"/>
      <c r="CD35" s="209"/>
      <c r="CE35" s="209"/>
      <c r="CF35" s="209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09"/>
      <c r="DC35" s="209"/>
      <c r="DD35" s="209"/>
      <c r="DE35" s="209"/>
      <c r="DF35" s="209"/>
      <c r="DG35" s="209"/>
      <c r="DH35" s="209"/>
      <c r="DI35" s="209"/>
      <c r="DJ35" s="209"/>
      <c r="DK35" s="209"/>
      <c r="DL35" s="209"/>
      <c r="DM35" s="209"/>
      <c r="DN35" s="209"/>
      <c r="DO35" s="209"/>
      <c r="DP35" s="209"/>
      <c r="DQ35" s="209"/>
      <c r="DR35" s="209"/>
      <c r="DS35" s="209"/>
      <c r="DT35" s="209"/>
      <c r="DU35" s="209"/>
      <c r="DV35" s="209"/>
      <c r="DW35" s="209"/>
      <c r="DX35" s="209"/>
      <c r="DY35" s="209"/>
      <c r="DZ35" s="209"/>
      <c r="EA35" s="209"/>
      <c r="EB35" s="209"/>
      <c r="EC35" s="209"/>
      <c r="ED35" s="209"/>
      <c r="EE35" s="209"/>
      <c r="EF35" s="209"/>
      <c r="EG35" s="209"/>
      <c r="EH35" s="209"/>
      <c r="EI35" s="209"/>
      <c r="EJ35" s="209"/>
      <c r="EK35" s="209"/>
      <c r="EL35" s="209"/>
      <c r="EM35" s="209"/>
      <c r="EN35" s="209"/>
      <c r="EO35" s="209"/>
      <c r="EP35" s="209"/>
      <c r="EQ35" s="209"/>
      <c r="ER35" s="209"/>
      <c r="ES35" s="209"/>
      <c r="ET35" s="209"/>
      <c r="EU35" s="209"/>
      <c r="EV35" s="209"/>
      <c r="EW35" s="209"/>
      <c r="EX35" s="209"/>
      <c r="EY35" s="209"/>
      <c r="EZ35" s="209"/>
      <c r="FA35" s="209"/>
      <c r="FB35" s="209"/>
      <c r="FC35" s="209"/>
      <c r="FD35" s="209"/>
      <c r="FE35" s="209"/>
      <c r="FF35" s="209"/>
      <c r="FG35" s="209"/>
      <c r="FH35" s="209"/>
      <c r="FI35" s="209"/>
      <c r="FJ35" s="209"/>
      <c r="FK35" s="209"/>
      <c r="FL35" s="209"/>
      <c r="FM35" s="209"/>
      <c r="FN35" s="209"/>
      <c r="FO35" s="209"/>
      <c r="FP35" s="209"/>
      <c r="FQ35" s="209"/>
      <c r="FR35" s="209"/>
      <c r="FS35" s="209"/>
      <c r="FT35" s="209"/>
      <c r="FU35" s="209"/>
      <c r="FV35" s="209"/>
      <c r="FW35" s="209"/>
      <c r="FX35" s="209"/>
      <c r="FY35" s="209"/>
      <c r="FZ35" s="209"/>
      <c r="GA35" s="209"/>
      <c r="GB35" s="209"/>
      <c r="GC35" s="209"/>
      <c r="GD35" s="209"/>
      <c r="GE35" s="209"/>
      <c r="GF35" s="209"/>
      <c r="GG35" s="209"/>
      <c r="GH35" s="209"/>
      <c r="GI35" s="209"/>
      <c r="GJ35" s="209"/>
      <c r="GK35" s="209"/>
      <c r="GL35" s="209"/>
      <c r="GM35" s="209"/>
      <c r="GN35" s="209"/>
      <c r="GO35" s="209"/>
      <c r="GP35" s="209"/>
      <c r="GQ35" s="209"/>
      <c r="GR35" s="209"/>
      <c r="GS35" s="209"/>
      <c r="GT35" s="209"/>
      <c r="GU35" s="209"/>
      <c r="GV35" s="209"/>
      <c r="GW35" s="209"/>
      <c r="GX35" s="209"/>
      <c r="GY35" s="209"/>
      <c r="GZ35" s="209"/>
      <c r="HA35" s="209"/>
      <c r="HB35" s="209"/>
      <c r="HC35" s="209"/>
      <c r="HD35" s="209"/>
      <c r="HE35" s="209"/>
      <c r="HF35" s="209"/>
      <c r="HG35" s="209"/>
      <c r="HH35" s="209"/>
      <c r="HI35" s="209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</row>
    <row r="36" s="187" customFormat="1" ht="21" customHeight="1" spans="1:244">
      <c r="A36" s="196" t="s">
        <v>71</v>
      </c>
      <c r="B36" s="54">
        <v>9538</v>
      </c>
      <c r="C36" s="54">
        <v>9538</v>
      </c>
      <c r="D36" s="54">
        <v>9538</v>
      </c>
      <c r="E36" s="54"/>
      <c r="F36" s="54">
        <v>9538</v>
      </c>
      <c r="G36" s="54">
        <f t="shared" si="1"/>
        <v>0</v>
      </c>
      <c r="H36" s="54">
        <f t="shared" si="2"/>
        <v>0</v>
      </c>
      <c r="I36" s="196" t="s">
        <v>72</v>
      </c>
      <c r="J36" s="54">
        <v>20318</v>
      </c>
      <c r="K36" s="54">
        <v>26988</v>
      </c>
      <c r="L36" s="54">
        <v>26988</v>
      </c>
      <c r="M36" s="54"/>
      <c r="N36" s="54">
        <f t="shared" si="6"/>
        <v>26988</v>
      </c>
      <c r="O36" s="54">
        <f t="shared" si="3"/>
        <v>6670</v>
      </c>
      <c r="P36" s="194">
        <f t="shared" si="4"/>
        <v>0.328280342553401</v>
      </c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09"/>
      <c r="EZ36" s="209"/>
      <c r="FA36" s="209"/>
      <c r="FB36" s="209"/>
      <c r="FC36" s="209"/>
      <c r="FD36" s="209"/>
      <c r="FE36" s="209"/>
      <c r="FF36" s="209"/>
      <c r="FG36" s="209"/>
      <c r="FH36" s="209"/>
      <c r="FI36" s="209"/>
      <c r="FJ36" s="209"/>
      <c r="FK36" s="209"/>
      <c r="FL36" s="209"/>
      <c r="FM36" s="209"/>
      <c r="FN36" s="209"/>
      <c r="FO36" s="209"/>
      <c r="FP36" s="209"/>
      <c r="FQ36" s="209"/>
      <c r="FR36" s="209"/>
      <c r="FS36" s="209"/>
      <c r="FT36" s="209"/>
      <c r="FU36" s="209"/>
      <c r="FV36" s="209"/>
      <c r="FW36" s="209"/>
      <c r="FX36" s="209"/>
      <c r="FY36" s="209"/>
      <c r="FZ36" s="209"/>
      <c r="GA36" s="209"/>
      <c r="GB36" s="209"/>
      <c r="GC36" s="209"/>
      <c r="GD36" s="209"/>
      <c r="GE36" s="209"/>
      <c r="GF36" s="209"/>
      <c r="GG36" s="209"/>
      <c r="GH36" s="209"/>
      <c r="GI36" s="209"/>
      <c r="GJ36" s="209"/>
      <c r="GK36" s="209"/>
      <c r="GL36" s="209"/>
      <c r="GM36" s="209"/>
      <c r="GN36" s="209"/>
      <c r="GO36" s="209"/>
      <c r="GP36" s="209"/>
      <c r="GQ36" s="209"/>
      <c r="GR36" s="209"/>
      <c r="GS36" s="209"/>
      <c r="GT36" s="209"/>
      <c r="GU36" s="209"/>
      <c r="GV36" s="209"/>
      <c r="GW36" s="209"/>
      <c r="GX36" s="209"/>
      <c r="GY36" s="209"/>
      <c r="GZ36" s="209"/>
      <c r="HA36" s="209"/>
      <c r="HB36" s="209"/>
      <c r="HC36" s="209"/>
      <c r="HD36" s="209"/>
      <c r="HE36" s="209"/>
      <c r="HF36" s="209"/>
      <c r="HG36" s="209"/>
      <c r="HH36" s="209"/>
      <c r="HI36" s="209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</row>
    <row r="37" s="187" customFormat="1" ht="26.1" customHeight="1" spans="1:244">
      <c r="A37" s="196" t="s">
        <v>73</v>
      </c>
      <c r="B37" s="54">
        <v>465</v>
      </c>
      <c r="C37" s="54">
        <v>465</v>
      </c>
      <c r="D37" s="54">
        <v>465</v>
      </c>
      <c r="E37" s="54"/>
      <c r="F37" s="54">
        <v>465</v>
      </c>
      <c r="G37" s="54">
        <f t="shared" si="1"/>
        <v>0</v>
      </c>
      <c r="H37" s="54">
        <f t="shared" si="2"/>
        <v>0</v>
      </c>
      <c r="I37" s="193" t="s">
        <v>74</v>
      </c>
      <c r="J37" s="105">
        <f>J38+J39</f>
        <v>40742</v>
      </c>
      <c r="K37" s="105">
        <f>K38+K39</f>
        <v>49867</v>
      </c>
      <c r="L37" s="105">
        <f>L38+L39</f>
        <v>49867</v>
      </c>
      <c r="M37" s="105">
        <f>M38+M39</f>
        <v>0</v>
      </c>
      <c r="N37" s="105">
        <f>N38+N39</f>
        <v>49867</v>
      </c>
      <c r="O37" s="49">
        <f t="shared" si="3"/>
        <v>9125</v>
      </c>
      <c r="P37" s="192">
        <f t="shared" si="4"/>
        <v>0.223970350007363</v>
      </c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  <c r="BY37" s="209"/>
      <c r="BZ37" s="209"/>
      <c r="CA37" s="209"/>
      <c r="CB37" s="209"/>
      <c r="CC37" s="209"/>
      <c r="CD37" s="209"/>
      <c r="CE37" s="209"/>
      <c r="CF37" s="209"/>
      <c r="CG37" s="209"/>
      <c r="CH37" s="209"/>
      <c r="CI37" s="209"/>
      <c r="CJ37" s="209"/>
      <c r="CK37" s="209"/>
      <c r="CL37" s="209"/>
      <c r="CM37" s="209"/>
      <c r="CN37" s="209"/>
      <c r="CO37" s="209"/>
      <c r="CP37" s="209"/>
      <c r="CQ37" s="209"/>
      <c r="CR37" s="209"/>
      <c r="CS37" s="209"/>
      <c r="CT37" s="209"/>
      <c r="CU37" s="209"/>
      <c r="CV37" s="209"/>
      <c r="CW37" s="209"/>
      <c r="CX37" s="209"/>
      <c r="CY37" s="209"/>
      <c r="CZ37" s="209"/>
      <c r="DA37" s="209"/>
      <c r="DB37" s="209"/>
      <c r="DC37" s="209"/>
      <c r="DD37" s="209"/>
      <c r="DE37" s="209"/>
      <c r="DF37" s="209"/>
      <c r="DG37" s="209"/>
      <c r="DH37" s="209"/>
      <c r="DI37" s="209"/>
      <c r="DJ37" s="209"/>
      <c r="DK37" s="209"/>
      <c r="DL37" s="209"/>
      <c r="DM37" s="209"/>
      <c r="DN37" s="209"/>
      <c r="DO37" s="209"/>
      <c r="DP37" s="209"/>
      <c r="DQ37" s="209"/>
      <c r="DR37" s="209"/>
      <c r="DS37" s="209"/>
      <c r="DT37" s="209"/>
      <c r="DU37" s="209"/>
      <c r="DV37" s="209"/>
      <c r="DW37" s="209"/>
      <c r="DX37" s="209"/>
      <c r="DY37" s="209"/>
      <c r="DZ37" s="209"/>
      <c r="EA37" s="209"/>
      <c r="EB37" s="209"/>
      <c r="EC37" s="209"/>
      <c r="ED37" s="209"/>
      <c r="EE37" s="209"/>
      <c r="EF37" s="209"/>
      <c r="EG37" s="209"/>
      <c r="EH37" s="209"/>
      <c r="EI37" s="209"/>
      <c r="EJ37" s="209"/>
      <c r="EK37" s="209"/>
      <c r="EL37" s="209"/>
      <c r="EM37" s="209"/>
      <c r="EN37" s="209"/>
      <c r="EO37" s="209"/>
      <c r="EP37" s="209"/>
      <c r="EQ37" s="209"/>
      <c r="ER37" s="209"/>
      <c r="ES37" s="209"/>
      <c r="ET37" s="209"/>
      <c r="EU37" s="209"/>
      <c r="EV37" s="209"/>
      <c r="EW37" s="209"/>
      <c r="EX37" s="209"/>
      <c r="EY37" s="209"/>
      <c r="EZ37" s="209"/>
      <c r="FA37" s="209"/>
      <c r="FB37" s="209"/>
      <c r="FC37" s="209"/>
      <c r="FD37" s="209"/>
      <c r="FE37" s="209"/>
      <c r="FF37" s="209"/>
      <c r="FG37" s="209"/>
      <c r="FH37" s="209"/>
      <c r="FI37" s="209"/>
      <c r="FJ37" s="209"/>
      <c r="FK37" s="209"/>
      <c r="FL37" s="209"/>
      <c r="FM37" s="209"/>
      <c r="FN37" s="209"/>
      <c r="FO37" s="209"/>
      <c r="FP37" s="209"/>
      <c r="FQ37" s="209"/>
      <c r="FR37" s="209"/>
      <c r="FS37" s="209"/>
      <c r="FT37" s="209"/>
      <c r="FU37" s="209"/>
      <c r="FV37" s="209"/>
      <c r="FW37" s="209"/>
      <c r="FX37" s="209"/>
      <c r="FY37" s="209"/>
      <c r="FZ37" s="209"/>
      <c r="GA37" s="209"/>
      <c r="GB37" s="209"/>
      <c r="GC37" s="209"/>
      <c r="GD37" s="209"/>
      <c r="GE37" s="209"/>
      <c r="GF37" s="209"/>
      <c r="GG37" s="209"/>
      <c r="GH37" s="209"/>
      <c r="GI37" s="209"/>
      <c r="GJ37" s="209"/>
      <c r="GK37" s="209"/>
      <c r="GL37" s="209"/>
      <c r="GM37" s="209"/>
      <c r="GN37" s="209"/>
      <c r="GO37" s="209"/>
      <c r="GP37" s="209"/>
      <c r="GQ37" s="209"/>
      <c r="GR37" s="209"/>
      <c r="GS37" s="209"/>
      <c r="GT37" s="209"/>
      <c r="GU37" s="209"/>
      <c r="GV37" s="209"/>
      <c r="GW37" s="209"/>
      <c r="GX37" s="209"/>
      <c r="GY37" s="209"/>
      <c r="GZ37" s="209"/>
      <c r="HA37" s="209"/>
      <c r="HB37" s="209"/>
      <c r="HC37" s="209"/>
      <c r="HD37" s="209"/>
      <c r="HE37" s="209"/>
      <c r="HF37" s="209"/>
      <c r="HG37" s="209"/>
      <c r="HH37" s="209"/>
      <c r="HI37" s="209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</row>
    <row r="38" s="187" customFormat="1" ht="21" customHeight="1" spans="1:244">
      <c r="A38" s="195" t="s">
        <v>75</v>
      </c>
      <c r="B38" s="49">
        <f>SUM(B39:B51)</f>
        <v>423518</v>
      </c>
      <c r="C38" s="49">
        <f>SUM(C39:C51)</f>
        <v>296162.28</v>
      </c>
      <c r="D38" s="49">
        <f>SUM(D39:D51)</f>
        <v>296162.28</v>
      </c>
      <c r="E38" s="49">
        <f>SUM(E39:E51)</f>
        <v>0</v>
      </c>
      <c r="F38" s="49">
        <f>SUM(F39:F51)</f>
        <v>296162.28</v>
      </c>
      <c r="G38" s="49">
        <f t="shared" si="1"/>
        <v>-127355.72</v>
      </c>
      <c r="H38" s="165">
        <f t="shared" si="2"/>
        <v>-0.30070910799541</v>
      </c>
      <c r="I38" s="196" t="s">
        <v>76</v>
      </c>
      <c r="J38" s="54">
        <v>40742</v>
      </c>
      <c r="K38" s="54">
        <v>49867</v>
      </c>
      <c r="L38" s="54">
        <v>49867</v>
      </c>
      <c r="M38" s="54"/>
      <c r="N38" s="54">
        <f t="shared" si="6"/>
        <v>49867</v>
      </c>
      <c r="O38" s="54">
        <f t="shared" si="3"/>
        <v>9125</v>
      </c>
      <c r="P38" s="194">
        <f t="shared" si="4"/>
        <v>0.223970350007363</v>
      </c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  <c r="BY38" s="209"/>
      <c r="BZ38" s="209"/>
      <c r="CA38" s="209"/>
      <c r="CB38" s="209"/>
      <c r="CC38" s="209"/>
      <c r="CD38" s="209"/>
      <c r="CE38" s="209"/>
      <c r="CF38" s="209"/>
      <c r="CG38" s="209"/>
      <c r="CH38" s="209"/>
      <c r="CI38" s="209"/>
      <c r="CJ38" s="209"/>
      <c r="CK38" s="209"/>
      <c r="CL38" s="209"/>
      <c r="CM38" s="209"/>
      <c r="CN38" s="209"/>
      <c r="CO38" s="209"/>
      <c r="CP38" s="209"/>
      <c r="CQ38" s="209"/>
      <c r="CR38" s="209"/>
      <c r="CS38" s="209"/>
      <c r="CT38" s="209"/>
      <c r="CU38" s="209"/>
      <c r="CV38" s="209"/>
      <c r="CW38" s="209"/>
      <c r="CX38" s="209"/>
      <c r="CY38" s="209"/>
      <c r="CZ38" s="209"/>
      <c r="DA38" s="209"/>
      <c r="DB38" s="209"/>
      <c r="DC38" s="209"/>
      <c r="DD38" s="209"/>
      <c r="DE38" s="209"/>
      <c r="DF38" s="209"/>
      <c r="DG38" s="209"/>
      <c r="DH38" s="209"/>
      <c r="DI38" s="209"/>
      <c r="DJ38" s="209"/>
      <c r="DK38" s="209"/>
      <c r="DL38" s="209"/>
      <c r="DM38" s="209"/>
      <c r="DN38" s="209"/>
      <c r="DO38" s="209"/>
      <c r="DP38" s="209"/>
      <c r="DQ38" s="209"/>
      <c r="DR38" s="209"/>
      <c r="DS38" s="209"/>
      <c r="DT38" s="209"/>
      <c r="DU38" s="209"/>
      <c r="DV38" s="209"/>
      <c r="DW38" s="209"/>
      <c r="DX38" s="209"/>
      <c r="DY38" s="209"/>
      <c r="DZ38" s="209"/>
      <c r="EA38" s="209"/>
      <c r="EB38" s="209"/>
      <c r="EC38" s="209"/>
      <c r="ED38" s="209"/>
      <c r="EE38" s="209"/>
      <c r="EF38" s="209"/>
      <c r="EG38" s="209"/>
      <c r="EH38" s="209"/>
      <c r="EI38" s="209"/>
      <c r="EJ38" s="209"/>
      <c r="EK38" s="209"/>
      <c r="EL38" s="209"/>
      <c r="EM38" s="209"/>
      <c r="EN38" s="209"/>
      <c r="EO38" s="209"/>
      <c r="EP38" s="209"/>
      <c r="EQ38" s="209"/>
      <c r="ER38" s="209"/>
      <c r="ES38" s="209"/>
      <c r="ET38" s="209"/>
      <c r="EU38" s="209"/>
      <c r="EV38" s="209"/>
      <c r="EW38" s="209"/>
      <c r="EX38" s="209"/>
      <c r="EY38" s="209"/>
      <c r="EZ38" s="209"/>
      <c r="FA38" s="209"/>
      <c r="FB38" s="209"/>
      <c r="FC38" s="209"/>
      <c r="FD38" s="209"/>
      <c r="FE38" s="209"/>
      <c r="FF38" s="209"/>
      <c r="FG38" s="209"/>
      <c r="FH38" s="209"/>
      <c r="FI38" s="209"/>
      <c r="FJ38" s="209"/>
      <c r="FK38" s="209"/>
      <c r="FL38" s="209"/>
      <c r="FM38" s="209"/>
      <c r="FN38" s="209"/>
      <c r="FO38" s="209"/>
      <c r="FP38" s="209"/>
      <c r="FQ38" s="209"/>
      <c r="FR38" s="209"/>
      <c r="FS38" s="209"/>
      <c r="FT38" s="209"/>
      <c r="FU38" s="209"/>
      <c r="FV38" s="209"/>
      <c r="FW38" s="209"/>
      <c r="FX38" s="209"/>
      <c r="FY38" s="209"/>
      <c r="FZ38" s="209"/>
      <c r="GA38" s="209"/>
      <c r="GB38" s="209"/>
      <c r="GC38" s="209"/>
      <c r="GD38" s="209"/>
      <c r="GE38" s="209"/>
      <c r="GF38" s="209"/>
      <c r="GG38" s="209"/>
      <c r="GH38" s="209"/>
      <c r="GI38" s="209"/>
      <c r="GJ38" s="209"/>
      <c r="GK38" s="209"/>
      <c r="GL38" s="209"/>
      <c r="GM38" s="209"/>
      <c r="GN38" s="209"/>
      <c r="GO38" s="209"/>
      <c r="GP38" s="209"/>
      <c r="GQ38" s="209"/>
      <c r="GR38" s="209"/>
      <c r="GS38" s="209"/>
      <c r="GT38" s="209"/>
      <c r="GU38" s="209"/>
      <c r="GV38" s="209"/>
      <c r="GW38" s="209"/>
      <c r="GX38" s="209"/>
      <c r="GY38" s="209"/>
      <c r="GZ38" s="209"/>
      <c r="HA38" s="209"/>
      <c r="HB38" s="209"/>
      <c r="HC38" s="209"/>
      <c r="HD38" s="209"/>
      <c r="HE38" s="209"/>
      <c r="HF38" s="209"/>
      <c r="HG38" s="209"/>
      <c r="HH38" s="209"/>
      <c r="HI38" s="209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</row>
    <row r="39" s="187" customFormat="1" ht="24.95" customHeight="1" spans="1:244">
      <c r="A39" s="198" t="s">
        <v>77</v>
      </c>
      <c r="B39" s="54">
        <v>122543</v>
      </c>
      <c r="C39" s="197">
        <v>104182</v>
      </c>
      <c r="D39" s="197">
        <v>104182</v>
      </c>
      <c r="E39" s="197"/>
      <c r="F39" s="197">
        <v>104182</v>
      </c>
      <c r="G39" s="54">
        <f t="shared" si="1"/>
        <v>-18361</v>
      </c>
      <c r="H39" s="194">
        <f t="shared" si="2"/>
        <v>-0.149833119802845</v>
      </c>
      <c r="I39" s="206" t="s">
        <v>78</v>
      </c>
      <c r="J39" s="54"/>
      <c r="K39" s="49"/>
      <c r="L39" s="49">
        <v>0</v>
      </c>
      <c r="M39" s="49"/>
      <c r="N39" s="54">
        <f t="shared" si="6"/>
        <v>0</v>
      </c>
      <c r="O39" s="54">
        <f t="shared" si="3"/>
        <v>0</v>
      </c>
      <c r="P39" s="194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  <c r="BZ39" s="209"/>
      <c r="CA39" s="209"/>
      <c r="CB39" s="209"/>
      <c r="CC39" s="209"/>
      <c r="CD39" s="209"/>
      <c r="CE39" s="209"/>
      <c r="CF39" s="20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209"/>
      <c r="CS39" s="209"/>
      <c r="CT39" s="209"/>
      <c r="CU39" s="209"/>
      <c r="CV39" s="209"/>
      <c r="CW39" s="209"/>
      <c r="CX39" s="209"/>
      <c r="CY39" s="209"/>
      <c r="CZ39" s="209"/>
      <c r="DA39" s="209"/>
      <c r="DB39" s="209"/>
      <c r="DC39" s="209"/>
      <c r="DD39" s="209"/>
      <c r="DE39" s="209"/>
      <c r="DF39" s="209"/>
      <c r="DG39" s="209"/>
      <c r="DH39" s="209"/>
      <c r="DI39" s="209"/>
      <c r="DJ39" s="209"/>
      <c r="DK39" s="209"/>
      <c r="DL39" s="209"/>
      <c r="DM39" s="209"/>
      <c r="DN39" s="209"/>
      <c r="DO39" s="209"/>
      <c r="DP39" s="209"/>
      <c r="DQ39" s="209"/>
      <c r="DR39" s="209"/>
      <c r="DS39" s="209"/>
      <c r="DT39" s="209"/>
      <c r="DU39" s="209"/>
      <c r="DV39" s="209"/>
      <c r="DW39" s="209"/>
      <c r="DX39" s="209"/>
      <c r="DY39" s="209"/>
      <c r="DZ39" s="209"/>
      <c r="EA39" s="209"/>
      <c r="EB39" s="209"/>
      <c r="EC39" s="209"/>
      <c r="ED39" s="209"/>
      <c r="EE39" s="209"/>
      <c r="EF39" s="209"/>
      <c r="EG39" s="209"/>
      <c r="EH39" s="209"/>
      <c r="EI39" s="209"/>
      <c r="EJ39" s="209"/>
      <c r="EK39" s="209"/>
      <c r="EL39" s="209"/>
      <c r="EM39" s="209"/>
      <c r="EN39" s="209"/>
      <c r="EO39" s="209"/>
      <c r="EP39" s="209"/>
      <c r="EQ39" s="209"/>
      <c r="ER39" s="209"/>
      <c r="ES39" s="209"/>
      <c r="ET39" s="209"/>
      <c r="EU39" s="209"/>
      <c r="EV39" s="209"/>
      <c r="EW39" s="209"/>
      <c r="EX39" s="209"/>
      <c r="EY39" s="209"/>
      <c r="EZ39" s="209"/>
      <c r="FA39" s="209"/>
      <c r="FB39" s="209"/>
      <c r="FC39" s="209"/>
      <c r="FD39" s="209"/>
      <c r="FE39" s="209"/>
      <c r="FF39" s="209"/>
      <c r="FG39" s="209"/>
      <c r="FH39" s="209"/>
      <c r="FI39" s="209"/>
      <c r="FJ39" s="209"/>
      <c r="FK39" s="209"/>
      <c r="FL39" s="209"/>
      <c r="FM39" s="209"/>
      <c r="FN39" s="209"/>
      <c r="FO39" s="209"/>
      <c r="FP39" s="209"/>
      <c r="FQ39" s="209"/>
      <c r="FR39" s="209"/>
      <c r="FS39" s="209"/>
      <c r="FT39" s="209"/>
      <c r="FU39" s="209"/>
      <c r="FV39" s="209"/>
      <c r="FW39" s="209"/>
      <c r="FX39" s="209"/>
      <c r="FY39" s="209"/>
      <c r="FZ39" s="209"/>
      <c r="GA39" s="209"/>
      <c r="GB39" s="209"/>
      <c r="GC39" s="209"/>
      <c r="GD39" s="209"/>
      <c r="GE39" s="209"/>
      <c r="GF39" s="209"/>
      <c r="GG39" s="209"/>
      <c r="GH39" s="209"/>
      <c r="GI39" s="209"/>
      <c r="GJ39" s="209"/>
      <c r="GK39" s="209"/>
      <c r="GL39" s="209"/>
      <c r="GM39" s="209"/>
      <c r="GN39" s="209"/>
      <c r="GO39" s="209"/>
      <c r="GP39" s="209"/>
      <c r="GQ39" s="209"/>
      <c r="GR39" s="209"/>
      <c r="GS39" s="209"/>
      <c r="GT39" s="209"/>
      <c r="GU39" s="209"/>
      <c r="GV39" s="209"/>
      <c r="GW39" s="209"/>
      <c r="GX39" s="209"/>
      <c r="GY39" s="209"/>
      <c r="GZ39" s="209"/>
      <c r="HA39" s="209"/>
      <c r="HB39" s="209"/>
      <c r="HC39" s="209"/>
      <c r="HD39" s="209"/>
      <c r="HE39" s="209"/>
      <c r="HF39" s="209"/>
      <c r="HG39" s="209"/>
      <c r="HH39" s="209"/>
      <c r="HI39" s="209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</row>
    <row r="40" s="187" customFormat="1" ht="27" customHeight="1" spans="1:244">
      <c r="A40" s="198" t="s">
        <v>79</v>
      </c>
      <c r="B40" s="54">
        <v>24252</v>
      </c>
      <c r="C40" s="197">
        <v>22358</v>
      </c>
      <c r="D40" s="197">
        <v>22358</v>
      </c>
      <c r="E40" s="197"/>
      <c r="F40" s="197">
        <v>22358</v>
      </c>
      <c r="G40" s="54">
        <f t="shared" si="1"/>
        <v>-1894</v>
      </c>
      <c r="H40" s="194">
        <f t="shared" si="2"/>
        <v>-0.0780966518225301</v>
      </c>
      <c r="I40" s="200" t="s">
        <v>80</v>
      </c>
      <c r="J40" s="49">
        <v>7384</v>
      </c>
      <c r="K40" s="49"/>
      <c r="L40" s="49">
        <v>0</v>
      </c>
      <c r="M40" s="49"/>
      <c r="N40" s="49">
        <f t="shared" si="6"/>
        <v>0</v>
      </c>
      <c r="O40" s="49">
        <f t="shared" si="3"/>
        <v>-7384</v>
      </c>
      <c r="P40" s="192">
        <f t="shared" si="4"/>
        <v>-1</v>
      </c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209"/>
      <c r="CE40" s="209"/>
      <c r="CF40" s="20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209"/>
      <c r="CS40" s="209"/>
      <c r="CT40" s="20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209"/>
      <c r="DG40" s="209"/>
      <c r="DH40" s="209"/>
      <c r="DI40" s="209"/>
      <c r="DJ40" s="209"/>
      <c r="DK40" s="209"/>
      <c r="DL40" s="209"/>
      <c r="DM40" s="209"/>
      <c r="DN40" s="209"/>
      <c r="DO40" s="209"/>
      <c r="DP40" s="209"/>
      <c r="DQ40" s="209"/>
      <c r="DR40" s="209"/>
      <c r="DS40" s="209"/>
      <c r="DT40" s="209"/>
      <c r="DU40" s="209"/>
      <c r="DV40" s="209"/>
      <c r="DW40" s="209"/>
      <c r="DX40" s="209"/>
      <c r="DY40" s="209"/>
      <c r="DZ40" s="209"/>
      <c r="EA40" s="209"/>
      <c r="EB40" s="209"/>
      <c r="EC40" s="209"/>
      <c r="ED40" s="209"/>
      <c r="EE40" s="209"/>
      <c r="EF40" s="209"/>
      <c r="EG40" s="209"/>
      <c r="EH40" s="209"/>
      <c r="EI40" s="209"/>
      <c r="EJ40" s="209"/>
      <c r="EK40" s="209"/>
      <c r="EL40" s="209"/>
      <c r="EM40" s="209"/>
      <c r="EN40" s="209"/>
      <c r="EO40" s="209"/>
      <c r="EP40" s="209"/>
      <c r="EQ40" s="209"/>
      <c r="ER40" s="209"/>
      <c r="ES40" s="209"/>
      <c r="ET40" s="209"/>
      <c r="EU40" s="209"/>
      <c r="EV40" s="209"/>
      <c r="EW40" s="209"/>
      <c r="EX40" s="209"/>
      <c r="EY40" s="209"/>
      <c r="EZ40" s="209"/>
      <c r="FA40" s="209"/>
      <c r="FB40" s="209"/>
      <c r="FC40" s="209"/>
      <c r="FD40" s="209"/>
      <c r="FE40" s="209"/>
      <c r="FF40" s="209"/>
      <c r="FG40" s="209"/>
      <c r="FH40" s="209"/>
      <c r="FI40" s="209"/>
      <c r="FJ40" s="209"/>
      <c r="FK40" s="209"/>
      <c r="FL40" s="209"/>
      <c r="FM40" s="209"/>
      <c r="FN40" s="209"/>
      <c r="FO40" s="209"/>
      <c r="FP40" s="209"/>
      <c r="FQ40" s="209"/>
      <c r="FR40" s="209"/>
      <c r="FS40" s="209"/>
      <c r="FT40" s="209"/>
      <c r="FU40" s="209"/>
      <c r="FV40" s="209"/>
      <c r="FW40" s="209"/>
      <c r="FX40" s="209"/>
      <c r="FY40" s="209"/>
      <c r="FZ40" s="209"/>
      <c r="GA40" s="209"/>
      <c r="GB40" s="209"/>
      <c r="GC40" s="209"/>
      <c r="GD40" s="209"/>
      <c r="GE40" s="209"/>
      <c r="GF40" s="209"/>
      <c r="GG40" s="209"/>
      <c r="GH40" s="209"/>
      <c r="GI40" s="209"/>
      <c r="GJ40" s="209"/>
      <c r="GK40" s="209"/>
      <c r="GL40" s="209"/>
      <c r="GM40" s="209"/>
      <c r="GN40" s="209"/>
      <c r="GO40" s="209"/>
      <c r="GP40" s="209"/>
      <c r="GQ40" s="209"/>
      <c r="GR40" s="209"/>
      <c r="GS40" s="209"/>
      <c r="GT40" s="209"/>
      <c r="GU40" s="209"/>
      <c r="GV40" s="209"/>
      <c r="GW40" s="209"/>
      <c r="GX40" s="209"/>
      <c r="GY40" s="209"/>
      <c r="GZ40" s="209"/>
      <c r="HA40" s="209"/>
      <c r="HB40" s="209"/>
      <c r="HC40" s="209"/>
      <c r="HD40" s="209"/>
      <c r="HE40" s="209"/>
      <c r="HF40" s="209"/>
      <c r="HG40" s="209"/>
      <c r="HH40" s="209"/>
      <c r="HI40" s="209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</row>
    <row r="41" s="187" customFormat="1" ht="21" customHeight="1" spans="1:244">
      <c r="A41" s="198" t="s">
        <v>81</v>
      </c>
      <c r="B41" s="54">
        <v>1468</v>
      </c>
      <c r="C41" s="197">
        <v>1215</v>
      </c>
      <c r="D41" s="197">
        <v>1215</v>
      </c>
      <c r="E41" s="197"/>
      <c r="F41" s="197">
        <v>1215</v>
      </c>
      <c r="G41" s="54">
        <f t="shared" si="1"/>
        <v>-253</v>
      </c>
      <c r="H41" s="194">
        <f t="shared" si="2"/>
        <v>-0.172343324250681</v>
      </c>
      <c r="I41" s="195" t="s">
        <v>82</v>
      </c>
      <c r="J41" s="105">
        <v>24768</v>
      </c>
      <c r="K41" s="49"/>
      <c r="L41" s="49">
        <v>0</v>
      </c>
      <c r="M41" s="49"/>
      <c r="N41" s="49">
        <f t="shared" si="6"/>
        <v>0</v>
      </c>
      <c r="O41" s="49">
        <f t="shared" si="3"/>
        <v>-24768</v>
      </c>
      <c r="P41" s="192">
        <f t="shared" si="4"/>
        <v>-1</v>
      </c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209"/>
      <c r="CE41" s="209"/>
      <c r="CF41" s="209"/>
      <c r="CG41" s="209"/>
      <c r="CH41" s="209"/>
      <c r="CI41" s="209"/>
      <c r="CJ41" s="209"/>
      <c r="CK41" s="209"/>
      <c r="CL41" s="209"/>
      <c r="CM41" s="209"/>
      <c r="CN41" s="209"/>
      <c r="CO41" s="209"/>
      <c r="CP41" s="209"/>
      <c r="CQ41" s="209"/>
      <c r="CR41" s="209"/>
      <c r="CS41" s="209"/>
      <c r="CT41" s="209"/>
      <c r="CU41" s="209"/>
      <c r="CV41" s="209"/>
      <c r="CW41" s="209"/>
      <c r="CX41" s="209"/>
      <c r="CY41" s="209"/>
      <c r="CZ41" s="209"/>
      <c r="DA41" s="209"/>
      <c r="DB41" s="209"/>
      <c r="DC41" s="209"/>
      <c r="DD41" s="209"/>
      <c r="DE41" s="209"/>
      <c r="DF41" s="209"/>
      <c r="DG41" s="209"/>
      <c r="DH41" s="209"/>
      <c r="DI41" s="209"/>
      <c r="DJ41" s="209"/>
      <c r="DK41" s="209"/>
      <c r="DL41" s="209"/>
      <c r="DM41" s="209"/>
      <c r="DN41" s="209"/>
      <c r="DO41" s="209"/>
      <c r="DP41" s="209"/>
      <c r="DQ41" s="209"/>
      <c r="DR41" s="209"/>
      <c r="DS41" s="209"/>
      <c r="DT41" s="209"/>
      <c r="DU41" s="209"/>
      <c r="DV41" s="209"/>
      <c r="DW41" s="209"/>
      <c r="DX41" s="209"/>
      <c r="DY41" s="209"/>
      <c r="DZ41" s="209"/>
      <c r="EA41" s="209"/>
      <c r="EB41" s="209"/>
      <c r="EC41" s="209"/>
      <c r="ED41" s="209"/>
      <c r="EE41" s="209"/>
      <c r="EF41" s="209"/>
      <c r="EG41" s="209"/>
      <c r="EH41" s="209"/>
      <c r="EI41" s="209"/>
      <c r="EJ41" s="209"/>
      <c r="EK41" s="209"/>
      <c r="EL41" s="209"/>
      <c r="EM41" s="209"/>
      <c r="EN41" s="209"/>
      <c r="EO41" s="209"/>
      <c r="EP41" s="209"/>
      <c r="EQ41" s="209"/>
      <c r="ER41" s="209"/>
      <c r="ES41" s="209"/>
      <c r="ET41" s="209"/>
      <c r="EU41" s="209"/>
      <c r="EV41" s="209"/>
      <c r="EW41" s="209"/>
      <c r="EX41" s="209"/>
      <c r="EY41" s="209"/>
      <c r="EZ41" s="209"/>
      <c r="FA41" s="209"/>
      <c r="FB41" s="209"/>
      <c r="FC41" s="209"/>
      <c r="FD41" s="209"/>
      <c r="FE41" s="209"/>
      <c r="FF41" s="209"/>
      <c r="FG41" s="209"/>
      <c r="FH41" s="209"/>
      <c r="FI41" s="209"/>
      <c r="FJ41" s="209"/>
      <c r="FK41" s="209"/>
      <c r="FL41" s="209"/>
      <c r="FM41" s="209"/>
      <c r="FN41" s="209"/>
      <c r="FO41" s="209"/>
      <c r="FP41" s="209"/>
      <c r="FQ41" s="209"/>
      <c r="FR41" s="209"/>
      <c r="FS41" s="209"/>
      <c r="FT41" s="209"/>
      <c r="FU41" s="209"/>
      <c r="FV41" s="209"/>
      <c r="FW41" s="209"/>
      <c r="FX41" s="209"/>
      <c r="FY41" s="209"/>
      <c r="FZ41" s="209"/>
      <c r="GA41" s="209"/>
      <c r="GB41" s="209"/>
      <c r="GC41" s="209"/>
      <c r="GD41" s="209"/>
      <c r="GE41" s="209"/>
      <c r="GF41" s="209"/>
      <c r="GG41" s="209"/>
      <c r="GH41" s="209"/>
      <c r="GI41" s="209"/>
      <c r="GJ41" s="209"/>
      <c r="GK41" s="209"/>
      <c r="GL41" s="209"/>
      <c r="GM41" s="209"/>
      <c r="GN41" s="209"/>
      <c r="GO41" s="209"/>
      <c r="GP41" s="209"/>
      <c r="GQ41" s="209"/>
      <c r="GR41" s="209"/>
      <c r="GS41" s="209"/>
      <c r="GT41" s="209"/>
      <c r="GU41" s="209"/>
      <c r="GV41" s="209"/>
      <c r="GW41" s="209"/>
      <c r="GX41" s="209"/>
      <c r="GY41" s="209"/>
      <c r="GZ41" s="209"/>
      <c r="HA41" s="209"/>
      <c r="HB41" s="209"/>
      <c r="HC41" s="209"/>
      <c r="HD41" s="209"/>
      <c r="HE41" s="209"/>
      <c r="HF41" s="209"/>
      <c r="HG41" s="209"/>
      <c r="HH41" s="209"/>
      <c r="HI41" s="209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</row>
    <row r="42" s="187" customFormat="1" ht="21" customHeight="1" spans="1:244">
      <c r="A42" s="198" t="s">
        <v>83</v>
      </c>
      <c r="B42" s="54">
        <v>4228</v>
      </c>
      <c r="C42" s="197">
        <v>3465</v>
      </c>
      <c r="D42" s="197">
        <v>3465</v>
      </c>
      <c r="E42" s="197"/>
      <c r="F42" s="197">
        <v>3465</v>
      </c>
      <c r="G42" s="54">
        <f t="shared" si="1"/>
        <v>-763</v>
      </c>
      <c r="H42" s="194">
        <f t="shared" si="2"/>
        <v>-0.18046357615894</v>
      </c>
      <c r="I42" s="195" t="s">
        <v>84</v>
      </c>
      <c r="J42" s="105">
        <v>92050</v>
      </c>
      <c r="K42" s="49">
        <v>3247</v>
      </c>
      <c r="L42" s="49">
        <v>3247</v>
      </c>
      <c r="M42" s="49">
        <f>3181-471</f>
        <v>2710</v>
      </c>
      <c r="N42" s="49">
        <f t="shared" si="6"/>
        <v>5957</v>
      </c>
      <c r="O42" s="49">
        <f t="shared" si="3"/>
        <v>-86093</v>
      </c>
      <c r="P42" s="192">
        <f t="shared" si="4"/>
        <v>-0.935285171102662</v>
      </c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  <c r="BY42" s="209"/>
      <c r="BZ42" s="209"/>
      <c r="CA42" s="209"/>
      <c r="CB42" s="209"/>
      <c r="CC42" s="209"/>
      <c r="CD42" s="209"/>
      <c r="CE42" s="209"/>
      <c r="CF42" s="209"/>
      <c r="CG42" s="209"/>
      <c r="CH42" s="209"/>
      <c r="CI42" s="209"/>
      <c r="CJ42" s="209"/>
      <c r="CK42" s="209"/>
      <c r="CL42" s="209"/>
      <c r="CM42" s="209"/>
      <c r="CN42" s="209"/>
      <c r="CO42" s="209"/>
      <c r="CP42" s="209"/>
      <c r="CQ42" s="209"/>
      <c r="CR42" s="209"/>
      <c r="CS42" s="209"/>
      <c r="CT42" s="209"/>
      <c r="CU42" s="209"/>
      <c r="CV42" s="209"/>
      <c r="CW42" s="209"/>
      <c r="CX42" s="209"/>
      <c r="CY42" s="209"/>
      <c r="CZ42" s="209"/>
      <c r="DA42" s="209"/>
      <c r="DB42" s="209"/>
      <c r="DC42" s="209"/>
      <c r="DD42" s="209"/>
      <c r="DE42" s="209"/>
      <c r="DF42" s="209"/>
      <c r="DG42" s="209"/>
      <c r="DH42" s="209"/>
      <c r="DI42" s="209"/>
      <c r="DJ42" s="209"/>
      <c r="DK42" s="209"/>
      <c r="DL42" s="209"/>
      <c r="DM42" s="209"/>
      <c r="DN42" s="209"/>
      <c r="DO42" s="209"/>
      <c r="DP42" s="209"/>
      <c r="DQ42" s="209"/>
      <c r="DR42" s="209"/>
      <c r="DS42" s="209"/>
      <c r="DT42" s="209"/>
      <c r="DU42" s="209"/>
      <c r="DV42" s="209"/>
      <c r="DW42" s="209"/>
      <c r="DX42" s="209"/>
      <c r="DY42" s="209"/>
      <c r="DZ42" s="209"/>
      <c r="EA42" s="209"/>
      <c r="EB42" s="209"/>
      <c r="EC42" s="209"/>
      <c r="ED42" s="209"/>
      <c r="EE42" s="209"/>
      <c r="EF42" s="209"/>
      <c r="EG42" s="209"/>
      <c r="EH42" s="209"/>
      <c r="EI42" s="209"/>
      <c r="EJ42" s="209"/>
      <c r="EK42" s="209"/>
      <c r="EL42" s="209"/>
      <c r="EM42" s="209"/>
      <c r="EN42" s="209"/>
      <c r="EO42" s="209"/>
      <c r="EP42" s="209"/>
      <c r="EQ42" s="209"/>
      <c r="ER42" s="209"/>
      <c r="ES42" s="209"/>
      <c r="ET42" s="209"/>
      <c r="EU42" s="209"/>
      <c r="EV42" s="209"/>
      <c r="EW42" s="209"/>
      <c r="EX42" s="209"/>
      <c r="EY42" s="209"/>
      <c r="EZ42" s="209"/>
      <c r="FA42" s="209"/>
      <c r="FB42" s="209"/>
      <c r="FC42" s="209"/>
      <c r="FD42" s="209"/>
      <c r="FE42" s="209"/>
      <c r="FF42" s="209"/>
      <c r="FG42" s="209"/>
      <c r="FH42" s="209"/>
      <c r="FI42" s="209"/>
      <c r="FJ42" s="209"/>
      <c r="FK42" s="209"/>
      <c r="FL42" s="209"/>
      <c r="FM42" s="209"/>
      <c r="FN42" s="209"/>
      <c r="FO42" s="209"/>
      <c r="FP42" s="209"/>
      <c r="FQ42" s="209"/>
      <c r="FR42" s="209"/>
      <c r="FS42" s="209"/>
      <c r="FT42" s="209"/>
      <c r="FU42" s="209"/>
      <c r="FV42" s="209"/>
      <c r="FW42" s="209"/>
      <c r="FX42" s="209"/>
      <c r="FY42" s="209"/>
      <c r="FZ42" s="209"/>
      <c r="GA42" s="209"/>
      <c r="GB42" s="209"/>
      <c r="GC42" s="209"/>
      <c r="GD42" s="209"/>
      <c r="GE42" s="209"/>
      <c r="GF42" s="209"/>
      <c r="GG42" s="209"/>
      <c r="GH42" s="209"/>
      <c r="GI42" s="209"/>
      <c r="GJ42" s="209"/>
      <c r="GK42" s="209"/>
      <c r="GL42" s="209"/>
      <c r="GM42" s="209"/>
      <c r="GN42" s="209"/>
      <c r="GO42" s="209"/>
      <c r="GP42" s="209"/>
      <c r="GQ42" s="209"/>
      <c r="GR42" s="209"/>
      <c r="GS42" s="209"/>
      <c r="GT42" s="209"/>
      <c r="GU42" s="209"/>
      <c r="GV42" s="209"/>
      <c r="GW42" s="209"/>
      <c r="GX42" s="209"/>
      <c r="GY42" s="209"/>
      <c r="GZ42" s="209"/>
      <c r="HA42" s="209"/>
      <c r="HB42" s="209"/>
      <c r="HC42" s="209"/>
      <c r="HD42" s="209"/>
      <c r="HE42" s="209"/>
      <c r="HF42" s="209"/>
      <c r="HG42" s="209"/>
      <c r="HH42" s="209"/>
      <c r="HI42" s="209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</row>
    <row r="43" s="187" customFormat="1" ht="29.1" customHeight="1" spans="1:244">
      <c r="A43" s="198" t="s">
        <v>85</v>
      </c>
      <c r="B43" s="54">
        <v>18632</v>
      </c>
      <c r="C43" s="197">
        <v>16786</v>
      </c>
      <c r="D43" s="197">
        <v>16786</v>
      </c>
      <c r="E43" s="197"/>
      <c r="F43" s="197">
        <v>16786</v>
      </c>
      <c r="G43" s="54">
        <f t="shared" si="1"/>
        <v>-1846</v>
      </c>
      <c r="H43" s="194">
        <f t="shared" si="2"/>
        <v>-0.0990768570201803</v>
      </c>
      <c r="I43" s="112"/>
      <c r="J43" s="110"/>
      <c r="K43" s="110"/>
      <c r="L43" s="110"/>
      <c r="M43" s="110"/>
      <c r="N43" s="110"/>
      <c r="O43" s="110">
        <f t="shared" si="3"/>
        <v>0</v>
      </c>
      <c r="P43" s="194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209"/>
      <c r="CI43" s="209"/>
      <c r="CJ43" s="209"/>
      <c r="CK43" s="209"/>
      <c r="CL43" s="209"/>
      <c r="CM43" s="209"/>
      <c r="CN43" s="209"/>
      <c r="CO43" s="209"/>
      <c r="CP43" s="209"/>
      <c r="CQ43" s="209"/>
      <c r="CR43" s="209"/>
      <c r="CS43" s="209"/>
      <c r="CT43" s="209"/>
      <c r="CU43" s="209"/>
      <c r="CV43" s="209"/>
      <c r="CW43" s="209"/>
      <c r="CX43" s="209"/>
      <c r="CY43" s="209"/>
      <c r="CZ43" s="209"/>
      <c r="DA43" s="209"/>
      <c r="DB43" s="209"/>
      <c r="DC43" s="209"/>
      <c r="DD43" s="209"/>
      <c r="DE43" s="209"/>
      <c r="DF43" s="209"/>
      <c r="DG43" s="209"/>
      <c r="DH43" s="209"/>
      <c r="DI43" s="209"/>
      <c r="DJ43" s="209"/>
      <c r="DK43" s="209"/>
      <c r="DL43" s="209"/>
      <c r="DM43" s="209"/>
      <c r="DN43" s="209"/>
      <c r="DO43" s="209"/>
      <c r="DP43" s="209"/>
      <c r="DQ43" s="209"/>
      <c r="DR43" s="209"/>
      <c r="DS43" s="209"/>
      <c r="DT43" s="209"/>
      <c r="DU43" s="209"/>
      <c r="DV43" s="209"/>
      <c r="DW43" s="209"/>
      <c r="DX43" s="209"/>
      <c r="DY43" s="209"/>
      <c r="DZ43" s="209"/>
      <c r="EA43" s="209"/>
      <c r="EB43" s="209"/>
      <c r="EC43" s="209"/>
      <c r="ED43" s="209"/>
      <c r="EE43" s="209"/>
      <c r="EF43" s="209"/>
      <c r="EG43" s="209"/>
      <c r="EH43" s="209"/>
      <c r="EI43" s="209"/>
      <c r="EJ43" s="209"/>
      <c r="EK43" s="209"/>
      <c r="EL43" s="209"/>
      <c r="EM43" s="209"/>
      <c r="EN43" s="209"/>
      <c r="EO43" s="209"/>
      <c r="EP43" s="209"/>
      <c r="EQ43" s="209"/>
      <c r="ER43" s="209"/>
      <c r="ES43" s="209"/>
      <c r="ET43" s="209"/>
      <c r="EU43" s="209"/>
      <c r="EV43" s="209"/>
      <c r="EW43" s="209"/>
      <c r="EX43" s="209"/>
      <c r="EY43" s="209"/>
      <c r="EZ43" s="209"/>
      <c r="FA43" s="209"/>
      <c r="FB43" s="209"/>
      <c r="FC43" s="209"/>
      <c r="FD43" s="209"/>
      <c r="FE43" s="209"/>
      <c r="FF43" s="209"/>
      <c r="FG43" s="209"/>
      <c r="FH43" s="209"/>
      <c r="FI43" s="209"/>
      <c r="FJ43" s="209"/>
      <c r="FK43" s="209"/>
      <c r="FL43" s="209"/>
      <c r="FM43" s="209"/>
      <c r="FN43" s="209"/>
      <c r="FO43" s="209"/>
      <c r="FP43" s="209"/>
      <c r="FQ43" s="209"/>
      <c r="FR43" s="209"/>
      <c r="FS43" s="209"/>
      <c r="FT43" s="209"/>
      <c r="FU43" s="209"/>
      <c r="FV43" s="209"/>
      <c r="FW43" s="209"/>
      <c r="FX43" s="209"/>
      <c r="FY43" s="209"/>
      <c r="FZ43" s="209"/>
      <c r="GA43" s="209"/>
      <c r="GB43" s="209"/>
      <c r="GC43" s="209"/>
      <c r="GD43" s="209"/>
      <c r="GE43" s="209"/>
      <c r="GF43" s="209"/>
      <c r="GG43" s="209"/>
      <c r="GH43" s="209"/>
      <c r="GI43" s="209"/>
      <c r="GJ43" s="209"/>
      <c r="GK43" s="209"/>
      <c r="GL43" s="209"/>
      <c r="GM43" s="209"/>
      <c r="GN43" s="209"/>
      <c r="GO43" s="209"/>
      <c r="GP43" s="209"/>
      <c r="GQ43" s="209"/>
      <c r="GR43" s="209"/>
      <c r="GS43" s="209"/>
      <c r="GT43" s="209"/>
      <c r="GU43" s="209"/>
      <c r="GV43" s="209"/>
      <c r="GW43" s="209"/>
      <c r="GX43" s="209"/>
      <c r="GY43" s="209"/>
      <c r="GZ43" s="209"/>
      <c r="HA43" s="209"/>
      <c r="HB43" s="209"/>
      <c r="HC43" s="209"/>
      <c r="HD43" s="209"/>
      <c r="HE43" s="209"/>
      <c r="HF43" s="209"/>
      <c r="HG43" s="209"/>
      <c r="HH43" s="209"/>
      <c r="HI43" s="209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</row>
    <row r="44" s="187" customFormat="1" ht="21" customHeight="1" spans="1:244">
      <c r="A44" s="198" t="s">
        <v>86</v>
      </c>
      <c r="B44" s="54">
        <v>50118</v>
      </c>
      <c r="C44" s="197">
        <v>50118.28</v>
      </c>
      <c r="D44" s="197">
        <v>50118.28</v>
      </c>
      <c r="E44" s="197"/>
      <c r="F44" s="197">
        <v>50118.28</v>
      </c>
      <c r="G44" s="54">
        <f t="shared" si="1"/>
        <v>0.279999999998836</v>
      </c>
      <c r="H44" s="194">
        <f t="shared" si="2"/>
        <v>5.58681511630224e-6</v>
      </c>
      <c r="I44" s="195"/>
      <c r="J44" s="49"/>
      <c r="K44" s="49"/>
      <c r="L44" s="49"/>
      <c r="M44" s="192"/>
      <c r="N44" s="49"/>
      <c r="O44" s="49">
        <f t="shared" si="3"/>
        <v>0</v>
      </c>
      <c r="P44" s="194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209"/>
      <c r="CI44" s="209"/>
      <c r="CJ44" s="209"/>
      <c r="CK44" s="209"/>
      <c r="CL44" s="209"/>
      <c r="CM44" s="209"/>
      <c r="CN44" s="209"/>
      <c r="CO44" s="209"/>
      <c r="CP44" s="209"/>
      <c r="CQ44" s="209"/>
      <c r="CR44" s="209"/>
      <c r="CS44" s="209"/>
      <c r="CT44" s="209"/>
      <c r="CU44" s="209"/>
      <c r="CV44" s="209"/>
      <c r="CW44" s="209"/>
      <c r="CX44" s="209"/>
      <c r="CY44" s="209"/>
      <c r="CZ44" s="209"/>
      <c r="DA44" s="209"/>
      <c r="DB44" s="209"/>
      <c r="DC44" s="209"/>
      <c r="DD44" s="209"/>
      <c r="DE44" s="209"/>
      <c r="DF44" s="209"/>
      <c r="DG44" s="209"/>
      <c r="DH44" s="209"/>
      <c r="DI44" s="209"/>
      <c r="DJ44" s="209"/>
      <c r="DK44" s="209"/>
      <c r="DL44" s="209"/>
      <c r="DM44" s="209"/>
      <c r="DN44" s="209"/>
      <c r="DO44" s="209"/>
      <c r="DP44" s="209"/>
      <c r="DQ44" s="209"/>
      <c r="DR44" s="209"/>
      <c r="DS44" s="209"/>
      <c r="DT44" s="209"/>
      <c r="DU44" s="209"/>
      <c r="DV44" s="209"/>
      <c r="DW44" s="209"/>
      <c r="DX44" s="209"/>
      <c r="DY44" s="209"/>
      <c r="DZ44" s="209"/>
      <c r="EA44" s="209"/>
      <c r="EB44" s="209"/>
      <c r="EC44" s="209"/>
      <c r="ED44" s="209"/>
      <c r="EE44" s="209"/>
      <c r="EF44" s="209"/>
      <c r="EG44" s="209"/>
      <c r="EH44" s="209"/>
      <c r="EI44" s="209"/>
      <c r="EJ44" s="209"/>
      <c r="EK44" s="209"/>
      <c r="EL44" s="209"/>
      <c r="EM44" s="209"/>
      <c r="EN44" s="209"/>
      <c r="EO44" s="209"/>
      <c r="EP44" s="209"/>
      <c r="EQ44" s="209"/>
      <c r="ER44" s="209"/>
      <c r="ES44" s="209"/>
      <c r="ET44" s="209"/>
      <c r="EU44" s="209"/>
      <c r="EV44" s="209"/>
      <c r="EW44" s="209"/>
      <c r="EX44" s="209"/>
      <c r="EY44" s="209"/>
      <c r="EZ44" s="209"/>
      <c r="FA44" s="209"/>
      <c r="FB44" s="209"/>
      <c r="FC44" s="209"/>
      <c r="FD44" s="209"/>
      <c r="FE44" s="209"/>
      <c r="FF44" s="209"/>
      <c r="FG44" s="209"/>
      <c r="FH44" s="209"/>
      <c r="FI44" s="209"/>
      <c r="FJ44" s="209"/>
      <c r="FK44" s="209"/>
      <c r="FL44" s="209"/>
      <c r="FM44" s="209"/>
      <c r="FN44" s="209"/>
      <c r="FO44" s="209"/>
      <c r="FP44" s="209"/>
      <c r="FQ44" s="209"/>
      <c r="FR44" s="209"/>
      <c r="FS44" s="209"/>
      <c r="FT44" s="209"/>
      <c r="FU44" s="209"/>
      <c r="FV44" s="209"/>
      <c r="FW44" s="209"/>
      <c r="FX44" s="209"/>
      <c r="FY44" s="209"/>
      <c r="FZ44" s="209"/>
      <c r="GA44" s="209"/>
      <c r="GB44" s="209"/>
      <c r="GC44" s="209"/>
      <c r="GD44" s="209"/>
      <c r="GE44" s="209"/>
      <c r="GF44" s="209"/>
      <c r="GG44" s="209"/>
      <c r="GH44" s="209"/>
      <c r="GI44" s="209"/>
      <c r="GJ44" s="209"/>
      <c r="GK44" s="209"/>
      <c r="GL44" s="209"/>
      <c r="GM44" s="209"/>
      <c r="GN44" s="209"/>
      <c r="GO44" s="209"/>
      <c r="GP44" s="209"/>
      <c r="GQ44" s="209"/>
      <c r="GR44" s="209"/>
      <c r="GS44" s="209"/>
      <c r="GT44" s="209"/>
      <c r="GU44" s="209"/>
      <c r="GV44" s="209"/>
      <c r="GW44" s="209"/>
      <c r="GX44" s="209"/>
      <c r="GY44" s="209"/>
      <c r="GZ44" s="209"/>
      <c r="HA44" s="209"/>
      <c r="HB44" s="209"/>
      <c r="HC44" s="209"/>
      <c r="HD44" s="209"/>
      <c r="HE44" s="209"/>
      <c r="HF44" s="209"/>
      <c r="HG44" s="209"/>
      <c r="HH44" s="209"/>
      <c r="HI44" s="209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</row>
    <row r="45" s="187" customFormat="1" ht="32.1" customHeight="1" spans="1:244">
      <c r="A45" s="198" t="s">
        <v>87</v>
      </c>
      <c r="B45" s="54">
        <v>17011</v>
      </c>
      <c r="C45" s="197">
        <v>11922</v>
      </c>
      <c r="D45" s="197">
        <v>11922</v>
      </c>
      <c r="E45" s="197"/>
      <c r="F45" s="197">
        <v>11922</v>
      </c>
      <c r="G45" s="54">
        <f t="shared" si="1"/>
        <v>-5089</v>
      </c>
      <c r="H45" s="194">
        <f t="shared" si="2"/>
        <v>-0.299159367468109</v>
      </c>
      <c r="I45" s="207"/>
      <c r="J45" s="54"/>
      <c r="K45" s="54"/>
      <c r="L45" s="54"/>
      <c r="M45" s="54"/>
      <c r="N45" s="54"/>
      <c r="O45" s="54">
        <f t="shared" si="3"/>
        <v>0</v>
      </c>
      <c r="P45" s="194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  <c r="BZ45" s="209"/>
      <c r="CA45" s="209"/>
      <c r="CB45" s="209"/>
      <c r="CC45" s="209"/>
      <c r="CD45" s="209"/>
      <c r="CE45" s="209"/>
      <c r="CF45" s="209"/>
      <c r="CG45" s="209"/>
      <c r="CH45" s="209"/>
      <c r="CI45" s="209"/>
      <c r="CJ45" s="209"/>
      <c r="CK45" s="209"/>
      <c r="CL45" s="209"/>
      <c r="CM45" s="209"/>
      <c r="CN45" s="209"/>
      <c r="CO45" s="209"/>
      <c r="CP45" s="209"/>
      <c r="CQ45" s="209"/>
      <c r="CR45" s="209"/>
      <c r="CS45" s="209"/>
      <c r="CT45" s="209"/>
      <c r="CU45" s="209"/>
      <c r="CV45" s="209"/>
      <c r="CW45" s="209"/>
      <c r="CX45" s="209"/>
      <c r="CY45" s="209"/>
      <c r="CZ45" s="209"/>
      <c r="DA45" s="209"/>
      <c r="DB45" s="209"/>
      <c r="DC45" s="209"/>
      <c r="DD45" s="209"/>
      <c r="DE45" s="209"/>
      <c r="DF45" s="209"/>
      <c r="DG45" s="209"/>
      <c r="DH45" s="209"/>
      <c r="DI45" s="209"/>
      <c r="DJ45" s="209"/>
      <c r="DK45" s="209"/>
      <c r="DL45" s="209"/>
      <c r="DM45" s="209"/>
      <c r="DN45" s="209"/>
      <c r="DO45" s="209"/>
      <c r="DP45" s="209"/>
      <c r="DQ45" s="209"/>
      <c r="DR45" s="209"/>
      <c r="DS45" s="209"/>
      <c r="DT45" s="209"/>
      <c r="DU45" s="209"/>
      <c r="DV45" s="209"/>
      <c r="DW45" s="209"/>
      <c r="DX45" s="209"/>
      <c r="DY45" s="209"/>
      <c r="DZ45" s="209"/>
      <c r="EA45" s="209"/>
      <c r="EB45" s="209"/>
      <c r="EC45" s="209"/>
      <c r="ED45" s="209"/>
      <c r="EE45" s="209"/>
      <c r="EF45" s="209"/>
      <c r="EG45" s="209"/>
      <c r="EH45" s="209"/>
      <c r="EI45" s="209"/>
      <c r="EJ45" s="209"/>
      <c r="EK45" s="209"/>
      <c r="EL45" s="209"/>
      <c r="EM45" s="209"/>
      <c r="EN45" s="209"/>
      <c r="EO45" s="209"/>
      <c r="EP45" s="209"/>
      <c r="EQ45" s="209"/>
      <c r="ER45" s="209"/>
      <c r="ES45" s="209"/>
      <c r="ET45" s="209"/>
      <c r="EU45" s="209"/>
      <c r="EV45" s="209"/>
      <c r="EW45" s="209"/>
      <c r="EX45" s="209"/>
      <c r="EY45" s="209"/>
      <c r="EZ45" s="209"/>
      <c r="FA45" s="209"/>
      <c r="FB45" s="209"/>
      <c r="FC45" s="209"/>
      <c r="FD45" s="209"/>
      <c r="FE45" s="209"/>
      <c r="FF45" s="209"/>
      <c r="FG45" s="209"/>
      <c r="FH45" s="209"/>
      <c r="FI45" s="209"/>
      <c r="FJ45" s="209"/>
      <c r="FK45" s="209"/>
      <c r="FL45" s="209"/>
      <c r="FM45" s="209"/>
      <c r="FN45" s="209"/>
      <c r="FO45" s="209"/>
      <c r="FP45" s="209"/>
      <c r="FQ45" s="209"/>
      <c r="FR45" s="209"/>
      <c r="FS45" s="209"/>
      <c r="FT45" s="209"/>
      <c r="FU45" s="209"/>
      <c r="FV45" s="209"/>
      <c r="FW45" s="209"/>
      <c r="FX45" s="209"/>
      <c r="FY45" s="209"/>
      <c r="FZ45" s="209"/>
      <c r="GA45" s="209"/>
      <c r="GB45" s="209"/>
      <c r="GC45" s="209"/>
      <c r="GD45" s="209"/>
      <c r="GE45" s="209"/>
      <c r="GF45" s="209"/>
      <c r="GG45" s="209"/>
      <c r="GH45" s="209"/>
      <c r="GI45" s="209"/>
      <c r="GJ45" s="209"/>
      <c r="GK45" s="209"/>
      <c r="GL45" s="209"/>
      <c r="GM45" s="209"/>
      <c r="GN45" s="209"/>
      <c r="GO45" s="209"/>
      <c r="GP45" s="209"/>
      <c r="GQ45" s="209"/>
      <c r="GR45" s="209"/>
      <c r="GS45" s="209"/>
      <c r="GT45" s="209"/>
      <c r="GU45" s="209"/>
      <c r="GV45" s="209"/>
      <c r="GW45" s="209"/>
      <c r="GX45" s="209"/>
      <c r="GY45" s="209"/>
      <c r="GZ45" s="209"/>
      <c r="HA45" s="209"/>
      <c r="HB45" s="209"/>
      <c r="HC45" s="209"/>
      <c r="HD45" s="209"/>
      <c r="HE45" s="209"/>
      <c r="HF45" s="209"/>
      <c r="HG45" s="209"/>
      <c r="HH45" s="209"/>
      <c r="HI45" s="209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</row>
    <row r="46" s="187" customFormat="1" ht="32.1" customHeight="1" spans="1:244">
      <c r="A46" s="198" t="s">
        <v>88</v>
      </c>
      <c r="B46" s="199">
        <v>104520</v>
      </c>
      <c r="C46" s="199">
        <v>80977</v>
      </c>
      <c r="D46" s="199">
        <v>80977</v>
      </c>
      <c r="E46" s="199"/>
      <c r="F46" s="199">
        <v>80977</v>
      </c>
      <c r="G46" s="54">
        <f t="shared" si="1"/>
        <v>-23543</v>
      </c>
      <c r="H46" s="194">
        <f t="shared" si="2"/>
        <v>-0.225248756218905</v>
      </c>
      <c r="I46" s="207"/>
      <c r="J46" s="54"/>
      <c r="K46" s="54"/>
      <c r="L46" s="54"/>
      <c r="M46" s="54"/>
      <c r="N46" s="54"/>
      <c r="O46" s="54">
        <f t="shared" si="3"/>
        <v>0</v>
      </c>
      <c r="P46" s="194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09"/>
      <c r="BZ46" s="209"/>
      <c r="CA46" s="209"/>
      <c r="CB46" s="209"/>
      <c r="CC46" s="209"/>
      <c r="CD46" s="209"/>
      <c r="CE46" s="209"/>
      <c r="CF46" s="209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  <c r="DO46" s="209"/>
      <c r="DP46" s="209"/>
      <c r="DQ46" s="209"/>
      <c r="DR46" s="209"/>
      <c r="DS46" s="209"/>
      <c r="DT46" s="209"/>
      <c r="DU46" s="209"/>
      <c r="DV46" s="209"/>
      <c r="DW46" s="209"/>
      <c r="DX46" s="209"/>
      <c r="DY46" s="209"/>
      <c r="DZ46" s="209"/>
      <c r="EA46" s="209"/>
      <c r="EB46" s="209"/>
      <c r="EC46" s="209"/>
      <c r="ED46" s="209"/>
      <c r="EE46" s="209"/>
      <c r="EF46" s="209"/>
      <c r="EG46" s="209"/>
      <c r="EH46" s="209"/>
      <c r="EI46" s="209"/>
      <c r="EJ46" s="209"/>
      <c r="EK46" s="209"/>
      <c r="EL46" s="209"/>
      <c r="EM46" s="209"/>
      <c r="EN46" s="209"/>
      <c r="EO46" s="209"/>
      <c r="EP46" s="209"/>
      <c r="EQ46" s="209"/>
      <c r="ER46" s="209"/>
      <c r="ES46" s="209"/>
      <c r="ET46" s="209"/>
      <c r="EU46" s="209"/>
      <c r="EV46" s="209"/>
      <c r="EW46" s="209"/>
      <c r="EX46" s="209"/>
      <c r="EY46" s="209"/>
      <c r="EZ46" s="209"/>
      <c r="FA46" s="209"/>
      <c r="FB46" s="209"/>
      <c r="FC46" s="209"/>
      <c r="FD46" s="209"/>
      <c r="FE46" s="209"/>
      <c r="FF46" s="209"/>
      <c r="FG46" s="209"/>
      <c r="FH46" s="209"/>
      <c r="FI46" s="209"/>
      <c r="FJ46" s="209"/>
      <c r="FK46" s="209"/>
      <c r="FL46" s="209"/>
      <c r="FM46" s="209"/>
      <c r="FN46" s="209"/>
      <c r="FO46" s="209"/>
      <c r="FP46" s="209"/>
      <c r="FQ46" s="209"/>
      <c r="FR46" s="209"/>
      <c r="FS46" s="209"/>
      <c r="FT46" s="209"/>
      <c r="FU46" s="209"/>
      <c r="FV46" s="209"/>
      <c r="FW46" s="209"/>
      <c r="FX46" s="209"/>
      <c r="FY46" s="209"/>
      <c r="FZ46" s="209"/>
      <c r="GA46" s="209"/>
      <c r="GB46" s="209"/>
      <c r="GC46" s="209"/>
      <c r="GD46" s="209"/>
      <c r="GE46" s="209"/>
      <c r="GF46" s="209"/>
      <c r="GG46" s="209"/>
      <c r="GH46" s="209"/>
      <c r="GI46" s="209"/>
      <c r="GJ46" s="209"/>
      <c r="GK46" s="209"/>
      <c r="GL46" s="209"/>
      <c r="GM46" s="209"/>
      <c r="GN46" s="209"/>
      <c r="GO46" s="209"/>
      <c r="GP46" s="209"/>
      <c r="GQ46" s="209"/>
      <c r="GR46" s="209"/>
      <c r="GS46" s="209"/>
      <c r="GT46" s="209"/>
      <c r="GU46" s="209"/>
      <c r="GV46" s="209"/>
      <c r="GW46" s="209"/>
      <c r="GX46" s="209"/>
      <c r="GY46" s="209"/>
      <c r="GZ46" s="209"/>
      <c r="HA46" s="209"/>
      <c r="HB46" s="209"/>
      <c r="HC46" s="209"/>
      <c r="HD46" s="209"/>
      <c r="HE46" s="209"/>
      <c r="HF46" s="209"/>
      <c r="HG46" s="209"/>
      <c r="HH46" s="209"/>
      <c r="HI46" s="209"/>
      <c r="HJ46" s="210"/>
      <c r="HK46" s="210"/>
      <c r="HL46" s="210"/>
      <c r="HM46" s="210"/>
      <c r="HN46" s="210"/>
      <c r="HO46" s="210"/>
      <c r="HP46" s="210"/>
      <c r="HQ46" s="210"/>
      <c r="HR46" s="210"/>
      <c r="HS46" s="210"/>
      <c r="HT46" s="210"/>
      <c r="HU46" s="210"/>
      <c r="HV46" s="210"/>
      <c r="HW46" s="210"/>
      <c r="HX46" s="210"/>
      <c r="HY46" s="210"/>
      <c r="HZ46" s="210"/>
      <c r="IA46" s="210"/>
      <c r="IB46" s="210"/>
      <c r="IC46" s="210"/>
      <c r="ID46" s="210"/>
      <c r="IE46" s="210"/>
      <c r="IF46" s="210"/>
      <c r="IG46" s="210"/>
      <c r="IH46" s="210"/>
      <c r="II46" s="210"/>
      <c r="IJ46" s="210"/>
    </row>
    <row r="47" s="187" customFormat="1" ht="27.95" customHeight="1" spans="1:244">
      <c r="A47" s="198" t="s">
        <v>89</v>
      </c>
      <c r="B47" s="54">
        <v>1155</v>
      </c>
      <c r="C47" s="197">
        <v>1039</v>
      </c>
      <c r="D47" s="197">
        <v>1039</v>
      </c>
      <c r="E47" s="197"/>
      <c r="F47" s="197">
        <v>1039</v>
      </c>
      <c r="G47" s="54">
        <f t="shared" si="1"/>
        <v>-116</v>
      </c>
      <c r="H47" s="194">
        <f t="shared" si="2"/>
        <v>-0.1004329004329</v>
      </c>
      <c r="I47" s="207"/>
      <c r="J47" s="54"/>
      <c r="K47" s="54"/>
      <c r="L47" s="54"/>
      <c r="M47" s="54"/>
      <c r="N47" s="54"/>
      <c r="O47" s="54">
        <f t="shared" si="3"/>
        <v>0</v>
      </c>
      <c r="P47" s="194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/>
      <c r="CA47" s="209"/>
      <c r="CB47" s="209"/>
      <c r="CC47" s="209"/>
      <c r="CD47" s="209"/>
      <c r="CE47" s="209"/>
      <c r="CF47" s="209"/>
      <c r="CG47" s="209"/>
      <c r="CH47" s="209"/>
      <c r="CI47" s="209"/>
      <c r="CJ47" s="209"/>
      <c r="CK47" s="209"/>
      <c r="CL47" s="209"/>
      <c r="CM47" s="209"/>
      <c r="CN47" s="209"/>
      <c r="CO47" s="209"/>
      <c r="CP47" s="209"/>
      <c r="CQ47" s="209"/>
      <c r="CR47" s="209"/>
      <c r="CS47" s="209"/>
      <c r="CT47" s="209"/>
      <c r="CU47" s="209"/>
      <c r="CV47" s="209"/>
      <c r="CW47" s="209"/>
      <c r="CX47" s="209"/>
      <c r="CY47" s="209"/>
      <c r="CZ47" s="209"/>
      <c r="DA47" s="209"/>
      <c r="DB47" s="209"/>
      <c r="DC47" s="209"/>
      <c r="DD47" s="209"/>
      <c r="DE47" s="209"/>
      <c r="DF47" s="209"/>
      <c r="DG47" s="209"/>
      <c r="DH47" s="209"/>
      <c r="DI47" s="209"/>
      <c r="DJ47" s="209"/>
      <c r="DK47" s="209"/>
      <c r="DL47" s="209"/>
      <c r="DM47" s="209"/>
      <c r="DN47" s="209"/>
      <c r="DO47" s="209"/>
      <c r="DP47" s="209"/>
      <c r="DQ47" s="209"/>
      <c r="DR47" s="209"/>
      <c r="DS47" s="209"/>
      <c r="DT47" s="209"/>
      <c r="DU47" s="209"/>
      <c r="DV47" s="209"/>
      <c r="DW47" s="209"/>
      <c r="DX47" s="209"/>
      <c r="DY47" s="209"/>
      <c r="DZ47" s="209"/>
      <c r="EA47" s="209"/>
      <c r="EB47" s="209"/>
      <c r="EC47" s="209"/>
      <c r="ED47" s="209"/>
      <c r="EE47" s="209"/>
      <c r="EF47" s="209"/>
      <c r="EG47" s="209"/>
      <c r="EH47" s="209"/>
      <c r="EI47" s="209"/>
      <c r="EJ47" s="209"/>
      <c r="EK47" s="209"/>
      <c r="EL47" s="209"/>
      <c r="EM47" s="209"/>
      <c r="EN47" s="209"/>
      <c r="EO47" s="209"/>
      <c r="EP47" s="209"/>
      <c r="EQ47" s="209"/>
      <c r="ER47" s="209"/>
      <c r="ES47" s="209"/>
      <c r="ET47" s="209"/>
      <c r="EU47" s="209"/>
      <c r="EV47" s="209"/>
      <c r="EW47" s="209"/>
      <c r="EX47" s="209"/>
      <c r="EY47" s="209"/>
      <c r="EZ47" s="209"/>
      <c r="FA47" s="209"/>
      <c r="FB47" s="209"/>
      <c r="FC47" s="209"/>
      <c r="FD47" s="209"/>
      <c r="FE47" s="209"/>
      <c r="FF47" s="209"/>
      <c r="FG47" s="209"/>
      <c r="FH47" s="209"/>
      <c r="FI47" s="209"/>
      <c r="FJ47" s="209"/>
      <c r="FK47" s="209"/>
      <c r="FL47" s="209"/>
      <c r="FM47" s="209"/>
      <c r="FN47" s="209"/>
      <c r="FO47" s="209"/>
      <c r="FP47" s="209"/>
      <c r="FQ47" s="209"/>
      <c r="FR47" s="209"/>
      <c r="FS47" s="209"/>
      <c r="FT47" s="209"/>
      <c r="FU47" s="209"/>
      <c r="FV47" s="209"/>
      <c r="FW47" s="209"/>
      <c r="FX47" s="209"/>
      <c r="FY47" s="209"/>
      <c r="FZ47" s="209"/>
      <c r="GA47" s="209"/>
      <c r="GB47" s="209"/>
      <c r="GC47" s="209"/>
      <c r="GD47" s="209"/>
      <c r="GE47" s="209"/>
      <c r="GF47" s="209"/>
      <c r="GG47" s="209"/>
      <c r="GH47" s="209"/>
      <c r="GI47" s="209"/>
      <c r="GJ47" s="209"/>
      <c r="GK47" s="209"/>
      <c r="GL47" s="209"/>
      <c r="GM47" s="209"/>
      <c r="GN47" s="209"/>
      <c r="GO47" s="209"/>
      <c r="GP47" s="209"/>
      <c r="GQ47" s="209"/>
      <c r="GR47" s="209"/>
      <c r="GS47" s="209"/>
      <c r="GT47" s="209"/>
      <c r="GU47" s="209"/>
      <c r="GV47" s="209"/>
      <c r="GW47" s="209"/>
      <c r="GX47" s="209"/>
      <c r="GY47" s="209"/>
      <c r="GZ47" s="209"/>
      <c r="HA47" s="209"/>
      <c r="HB47" s="209"/>
      <c r="HC47" s="209"/>
      <c r="HD47" s="209"/>
      <c r="HE47" s="209"/>
      <c r="HF47" s="209"/>
      <c r="HG47" s="209"/>
      <c r="HH47" s="209"/>
      <c r="HI47" s="209"/>
      <c r="HJ47" s="210"/>
      <c r="HK47" s="210"/>
      <c r="HL47" s="210"/>
      <c r="HM47" s="210"/>
      <c r="HN47" s="210"/>
      <c r="HO47" s="210"/>
      <c r="HP47" s="210"/>
      <c r="HQ47" s="210"/>
      <c r="HR47" s="210"/>
      <c r="HS47" s="210"/>
      <c r="HT47" s="210"/>
      <c r="HU47" s="210"/>
      <c r="HV47" s="210"/>
      <c r="HW47" s="210"/>
      <c r="HX47" s="210"/>
      <c r="HY47" s="210"/>
      <c r="HZ47" s="210"/>
      <c r="IA47" s="210"/>
      <c r="IB47" s="210"/>
      <c r="IC47" s="210"/>
      <c r="ID47" s="210"/>
      <c r="IE47" s="210"/>
      <c r="IF47" s="210"/>
      <c r="IG47" s="210"/>
      <c r="IH47" s="210"/>
      <c r="II47" s="210"/>
      <c r="IJ47" s="210"/>
    </row>
    <row r="48" s="187" customFormat="1" ht="21" customHeight="1" spans="1:244">
      <c r="A48" s="198" t="s">
        <v>90</v>
      </c>
      <c r="B48" s="54">
        <v>73279</v>
      </c>
      <c r="C48" s="197">
        <v>4100</v>
      </c>
      <c r="D48" s="197">
        <v>4100</v>
      </c>
      <c r="E48" s="197"/>
      <c r="F48" s="197">
        <v>4100</v>
      </c>
      <c r="G48" s="54">
        <f t="shared" si="1"/>
        <v>-69179</v>
      </c>
      <c r="H48" s="194">
        <f t="shared" si="2"/>
        <v>-0.944049454823346</v>
      </c>
      <c r="I48" s="207"/>
      <c r="J48" s="54"/>
      <c r="K48" s="54"/>
      <c r="L48" s="54"/>
      <c r="M48" s="54"/>
      <c r="N48" s="54"/>
      <c r="O48" s="54">
        <f t="shared" si="3"/>
        <v>0</v>
      </c>
      <c r="P48" s="194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09"/>
      <c r="BZ48" s="209"/>
      <c r="CA48" s="209"/>
      <c r="CB48" s="209"/>
      <c r="CC48" s="209"/>
      <c r="CD48" s="209"/>
      <c r="CE48" s="209"/>
      <c r="CF48" s="209"/>
      <c r="CG48" s="209"/>
      <c r="CH48" s="209"/>
      <c r="CI48" s="209"/>
      <c r="CJ48" s="209"/>
      <c r="CK48" s="209"/>
      <c r="CL48" s="209"/>
      <c r="CM48" s="209"/>
      <c r="CN48" s="209"/>
      <c r="CO48" s="209"/>
      <c r="CP48" s="209"/>
      <c r="CQ48" s="209"/>
      <c r="CR48" s="209"/>
      <c r="CS48" s="209"/>
      <c r="CT48" s="209"/>
      <c r="CU48" s="209"/>
      <c r="CV48" s="209"/>
      <c r="CW48" s="209"/>
      <c r="CX48" s="209"/>
      <c r="CY48" s="209"/>
      <c r="CZ48" s="209"/>
      <c r="DA48" s="209"/>
      <c r="DB48" s="209"/>
      <c r="DC48" s="209"/>
      <c r="DD48" s="209"/>
      <c r="DE48" s="209"/>
      <c r="DF48" s="209"/>
      <c r="DG48" s="209"/>
      <c r="DH48" s="209"/>
      <c r="DI48" s="209"/>
      <c r="DJ48" s="209"/>
      <c r="DK48" s="209"/>
      <c r="DL48" s="209"/>
      <c r="DM48" s="209"/>
      <c r="DN48" s="209"/>
      <c r="DO48" s="209"/>
      <c r="DP48" s="209"/>
      <c r="DQ48" s="209"/>
      <c r="DR48" s="209"/>
      <c r="DS48" s="209"/>
      <c r="DT48" s="209"/>
      <c r="DU48" s="209"/>
      <c r="DV48" s="209"/>
      <c r="DW48" s="209"/>
      <c r="DX48" s="209"/>
      <c r="DY48" s="209"/>
      <c r="DZ48" s="209"/>
      <c r="EA48" s="209"/>
      <c r="EB48" s="209"/>
      <c r="EC48" s="209"/>
      <c r="ED48" s="209"/>
      <c r="EE48" s="209"/>
      <c r="EF48" s="209"/>
      <c r="EG48" s="209"/>
      <c r="EH48" s="209"/>
      <c r="EI48" s="209"/>
      <c r="EJ48" s="209"/>
      <c r="EK48" s="209"/>
      <c r="EL48" s="209"/>
      <c r="EM48" s="209"/>
      <c r="EN48" s="209"/>
      <c r="EO48" s="209"/>
      <c r="EP48" s="209"/>
      <c r="EQ48" s="209"/>
      <c r="ER48" s="209"/>
      <c r="ES48" s="209"/>
      <c r="ET48" s="209"/>
      <c r="EU48" s="209"/>
      <c r="EV48" s="209"/>
      <c r="EW48" s="209"/>
      <c r="EX48" s="209"/>
      <c r="EY48" s="209"/>
      <c r="EZ48" s="209"/>
      <c r="FA48" s="209"/>
      <c r="FB48" s="209"/>
      <c r="FC48" s="209"/>
      <c r="FD48" s="209"/>
      <c r="FE48" s="209"/>
      <c r="FF48" s="209"/>
      <c r="FG48" s="209"/>
      <c r="FH48" s="209"/>
      <c r="FI48" s="209"/>
      <c r="FJ48" s="209"/>
      <c r="FK48" s="209"/>
      <c r="FL48" s="209"/>
      <c r="FM48" s="209"/>
      <c r="FN48" s="209"/>
      <c r="FO48" s="209"/>
      <c r="FP48" s="209"/>
      <c r="FQ48" s="209"/>
      <c r="FR48" s="209"/>
      <c r="FS48" s="209"/>
      <c r="FT48" s="209"/>
      <c r="FU48" s="209"/>
      <c r="FV48" s="209"/>
      <c r="FW48" s="209"/>
      <c r="FX48" s="209"/>
      <c r="FY48" s="209"/>
      <c r="FZ48" s="209"/>
      <c r="GA48" s="209"/>
      <c r="GB48" s="209"/>
      <c r="GC48" s="209"/>
      <c r="GD48" s="209"/>
      <c r="GE48" s="209"/>
      <c r="GF48" s="209"/>
      <c r="GG48" s="209"/>
      <c r="GH48" s="209"/>
      <c r="GI48" s="209"/>
      <c r="GJ48" s="209"/>
      <c r="GK48" s="209"/>
      <c r="GL48" s="209"/>
      <c r="GM48" s="209"/>
      <c r="GN48" s="209"/>
      <c r="GO48" s="209"/>
      <c r="GP48" s="209"/>
      <c r="GQ48" s="209"/>
      <c r="GR48" s="209"/>
      <c r="GS48" s="209"/>
      <c r="GT48" s="209"/>
      <c r="GU48" s="209"/>
      <c r="GV48" s="209"/>
      <c r="GW48" s="209"/>
      <c r="GX48" s="209"/>
      <c r="GY48" s="209"/>
      <c r="GZ48" s="209"/>
      <c r="HA48" s="209"/>
      <c r="HB48" s="209"/>
      <c r="HC48" s="209"/>
      <c r="HD48" s="209"/>
      <c r="HE48" s="209"/>
      <c r="HF48" s="209"/>
      <c r="HG48" s="209"/>
      <c r="HH48" s="209"/>
      <c r="HI48" s="209"/>
      <c r="HJ48" s="210"/>
      <c r="HK48" s="210"/>
      <c r="HL48" s="210"/>
      <c r="HM48" s="210"/>
      <c r="HN48" s="210"/>
      <c r="HO48" s="210"/>
      <c r="HP48" s="210"/>
      <c r="HQ48" s="210"/>
      <c r="HR48" s="210"/>
      <c r="HS48" s="210"/>
      <c r="HT48" s="210"/>
      <c r="HU48" s="210"/>
      <c r="HV48" s="210"/>
      <c r="HW48" s="210"/>
      <c r="HX48" s="210"/>
      <c r="HY48" s="210"/>
      <c r="HZ48" s="210"/>
      <c r="IA48" s="210"/>
      <c r="IB48" s="210"/>
      <c r="IC48" s="210"/>
      <c r="ID48" s="210"/>
      <c r="IE48" s="210"/>
      <c r="IF48" s="210"/>
      <c r="IG48" s="210"/>
      <c r="IH48" s="210"/>
      <c r="II48" s="210"/>
      <c r="IJ48" s="210"/>
    </row>
    <row r="49" s="187" customFormat="1" ht="29.1" customHeight="1" spans="1:244">
      <c r="A49" s="198" t="s">
        <v>91</v>
      </c>
      <c r="B49" s="54">
        <v>8239</v>
      </c>
      <c r="C49" s="197"/>
      <c r="D49" s="197"/>
      <c r="E49" s="197"/>
      <c r="F49" s="197"/>
      <c r="G49" s="54">
        <f t="shared" si="1"/>
        <v>-8239</v>
      </c>
      <c r="H49" s="194">
        <f t="shared" si="2"/>
        <v>-1</v>
      </c>
      <c r="I49" s="207"/>
      <c r="J49" s="54"/>
      <c r="K49" s="54"/>
      <c r="L49" s="54"/>
      <c r="M49" s="54"/>
      <c r="N49" s="54"/>
      <c r="O49" s="54">
        <f t="shared" si="3"/>
        <v>0</v>
      </c>
      <c r="P49" s="194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  <c r="BZ49" s="209"/>
      <c r="CA49" s="209"/>
      <c r="CB49" s="209"/>
      <c r="CC49" s="209"/>
      <c r="CD49" s="209"/>
      <c r="CE49" s="209"/>
      <c r="CF49" s="209"/>
      <c r="CG49" s="209"/>
      <c r="CH49" s="209"/>
      <c r="CI49" s="209"/>
      <c r="CJ49" s="209"/>
      <c r="CK49" s="209"/>
      <c r="CL49" s="209"/>
      <c r="CM49" s="209"/>
      <c r="CN49" s="209"/>
      <c r="CO49" s="209"/>
      <c r="CP49" s="209"/>
      <c r="CQ49" s="209"/>
      <c r="CR49" s="209"/>
      <c r="CS49" s="209"/>
      <c r="CT49" s="209"/>
      <c r="CU49" s="209"/>
      <c r="CV49" s="209"/>
      <c r="CW49" s="209"/>
      <c r="CX49" s="209"/>
      <c r="CY49" s="209"/>
      <c r="CZ49" s="209"/>
      <c r="DA49" s="209"/>
      <c r="DB49" s="209"/>
      <c r="DC49" s="209"/>
      <c r="DD49" s="209"/>
      <c r="DE49" s="209"/>
      <c r="DF49" s="209"/>
      <c r="DG49" s="209"/>
      <c r="DH49" s="209"/>
      <c r="DI49" s="209"/>
      <c r="DJ49" s="209"/>
      <c r="DK49" s="209"/>
      <c r="DL49" s="209"/>
      <c r="DM49" s="209"/>
      <c r="DN49" s="209"/>
      <c r="DO49" s="209"/>
      <c r="DP49" s="209"/>
      <c r="DQ49" s="209"/>
      <c r="DR49" s="209"/>
      <c r="DS49" s="209"/>
      <c r="DT49" s="209"/>
      <c r="DU49" s="209"/>
      <c r="DV49" s="209"/>
      <c r="DW49" s="209"/>
      <c r="DX49" s="209"/>
      <c r="DY49" s="209"/>
      <c r="DZ49" s="209"/>
      <c r="EA49" s="209"/>
      <c r="EB49" s="209"/>
      <c r="EC49" s="209"/>
      <c r="ED49" s="209"/>
      <c r="EE49" s="209"/>
      <c r="EF49" s="209"/>
      <c r="EG49" s="209"/>
      <c r="EH49" s="209"/>
      <c r="EI49" s="209"/>
      <c r="EJ49" s="209"/>
      <c r="EK49" s="209"/>
      <c r="EL49" s="209"/>
      <c r="EM49" s="209"/>
      <c r="EN49" s="209"/>
      <c r="EO49" s="209"/>
      <c r="EP49" s="209"/>
      <c r="EQ49" s="209"/>
      <c r="ER49" s="209"/>
      <c r="ES49" s="209"/>
      <c r="ET49" s="209"/>
      <c r="EU49" s="209"/>
      <c r="EV49" s="209"/>
      <c r="EW49" s="209"/>
      <c r="EX49" s="209"/>
      <c r="EY49" s="209"/>
      <c r="EZ49" s="209"/>
      <c r="FA49" s="209"/>
      <c r="FB49" s="209"/>
      <c r="FC49" s="209"/>
      <c r="FD49" s="209"/>
      <c r="FE49" s="209"/>
      <c r="FF49" s="209"/>
      <c r="FG49" s="209"/>
      <c r="FH49" s="209"/>
      <c r="FI49" s="209"/>
      <c r="FJ49" s="209"/>
      <c r="FK49" s="209"/>
      <c r="FL49" s="209"/>
      <c r="FM49" s="209"/>
      <c r="FN49" s="209"/>
      <c r="FO49" s="209"/>
      <c r="FP49" s="209"/>
      <c r="FQ49" s="209"/>
      <c r="FR49" s="209"/>
      <c r="FS49" s="209"/>
      <c r="FT49" s="209"/>
      <c r="FU49" s="209"/>
      <c r="FV49" s="209"/>
      <c r="FW49" s="209"/>
      <c r="FX49" s="209"/>
      <c r="FY49" s="209"/>
      <c r="FZ49" s="209"/>
      <c r="GA49" s="209"/>
      <c r="GB49" s="209"/>
      <c r="GC49" s="209"/>
      <c r="GD49" s="209"/>
      <c r="GE49" s="209"/>
      <c r="GF49" s="209"/>
      <c r="GG49" s="209"/>
      <c r="GH49" s="209"/>
      <c r="GI49" s="209"/>
      <c r="GJ49" s="209"/>
      <c r="GK49" s="209"/>
      <c r="GL49" s="209"/>
      <c r="GM49" s="209"/>
      <c r="GN49" s="209"/>
      <c r="GO49" s="209"/>
      <c r="GP49" s="209"/>
      <c r="GQ49" s="209"/>
      <c r="GR49" s="209"/>
      <c r="GS49" s="209"/>
      <c r="GT49" s="209"/>
      <c r="GU49" s="209"/>
      <c r="GV49" s="209"/>
      <c r="GW49" s="209"/>
      <c r="GX49" s="209"/>
      <c r="GY49" s="209"/>
      <c r="GZ49" s="209"/>
      <c r="HA49" s="209"/>
      <c r="HB49" s="209"/>
      <c r="HC49" s="209"/>
      <c r="HD49" s="209"/>
      <c r="HE49" s="209"/>
      <c r="HF49" s="209"/>
      <c r="HG49" s="209"/>
      <c r="HH49" s="209"/>
      <c r="HI49" s="209"/>
      <c r="HJ49" s="210"/>
      <c r="HK49" s="210"/>
      <c r="HL49" s="210"/>
      <c r="HM49" s="210"/>
      <c r="HN49" s="210"/>
      <c r="HO49" s="210"/>
      <c r="HP49" s="210"/>
      <c r="HQ49" s="210"/>
      <c r="HR49" s="210"/>
      <c r="HS49" s="210"/>
      <c r="HT49" s="210"/>
      <c r="HU49" s="210"/>
      <c r="HV49" s="210"/>
      <c r="HW49" s="210"/>
      <c r="HX49" s="210"/>
      <c r="HY49" s="210"/>
      <c r="HZ49" s="210"/>
      <c r="IA49" s="210"/>
      <c r="IB49" s="210"/>
      <c r="IC49" s="210"/>
      <c r="ID49" s="210"/>
      <c r="IE49" s="210"/>
      <c r="IF49" s="210"/>
      <c r="IG49" s="210"/>
      <c r="IH49" s="210"/>
      <c r="II49" s="210"/>
      <c r="IJ49" s="210"/>
    </row>
    <row r="50" s="187" customFormat="1" ht="29.1" customHeight="1" spans="1:244">
      <c r="A50" s="198" t="s">
        <v>92</v>
      </c>
      <c r="B50" s="54">
        <v>-1927</v>
      </c>
      <c r="C50" s="197"/>
      <c r="D50" s="197"/>
      <c r="E50" s="197"/>
      <c r="F50" s="197"/>
      <c r="G50" s="54">
        <f t="shared" si="1"/>
        <v>1927</v>
      </c>
      <c r="H50" s="194">
        <f t="shared" si="2"/>
        <v>-1</v>
      </c>
      <c r="I50" s="207"/>
      <c r="J50" s="54"/>
      <c r="K50" s="54"/>
      <c r="L50" s="54"/>
      <c r="M50" s="54"/>
      <c r="N50" s="54"/>
      <c r="O50" s="54">
        <f t="shared" si="3"/>
        <v>0</v>
      </c>
      <c r="P50" s="194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09"/>
      <c r="BY50" s="209"/>
      <c r="BZ50" s="209"/>
      <c r="CA50" s="209"/>
      <c r="CB50" s="209"/>
      <c r="CC50" s="209"/>
      <c r="CD50" s="209"/>
      <c r="CE50" s="209"/>
      <c r="CF50" s="209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  <c r="DO50" s="209"/>
      <c r="DP50" s="209"/>
      <c r="DQ50" s="209"/>
      <c r="DR50" s="209"/>
      <c r="DS50" s="209"/>
      <c r="DT50" s="209"/>
      <c r="DU50" s="209"/>
      <c r="DV50" s="209"/>
      <c r="DW50" s="209"/>
      <c r="DX50" s="209"/>
      <c r="DY50" s="209"/>
      <c r="DZ50" s="209"/>
      <c r="EA50" s="209"/>
      <c r="EB50" s="209"/>
      <c r="EC50" s="209"/>
      <c r="ED50" s="209"/>
      <c r="EE50" s="209"/>
      <c r="EF50" s="209"/>
      <c r="EG50" s="209"/>
      <c r="EH50" s="209"/>
      <c r="EI50" s="209"/>
      <c r="EJ50" s="209"/>
      <c r="EK50" s="209"/>
      <c r="EL50" s="209"/>
      <c r="EM50" s="209"/>
      <c r="EN50" s="209"/>
      <c r="EO50" s="209"/>
      <c r="EP50" s="209"/>
      <c r="EQ50" s="209"/>
      <c r="ER50" s="209"/>
      <c r="ES50" s="209"/>
      <c r="ET50" s="209"/>
      <c r="EU50" s="209"/>
      <c r="EV50" s="209"/>
      <c r="EW50" s="209"/>
      <c r="EX50" s="209"/>
      <c r="EY50" s="209"/>
      <c r="EZ50" s="209"/>
      <c r="FA50" s="209"/>
      <c r="FB50" s="209"/>
      <c r="FC50" s="209"/>
      <c r="FD50" s="209"/>
      <c r="FE50" s="209"/>
      <c r="FF50" s="209"/>
      <c r="FG50" s="209"/>
      <c r="FH50" s="209"/>
      <c r="FI50" s="209"/>
      <c r="FJ50" s="209"/>
      <c r="FK50" s="209"/>
      <c r="FL50" s="209"/>
      <c r="FM50" s="209"/>
      <c r="FN50" s="209"/>
      <c r="FO50" s="209"/>
      <c r="FP50" s="209"/>
      <c r="FQ50" s="209"/>
      <c r="FR50" s="209"/>
      <c r="FS50" s="209"/>
      <c r="FT50" s="209"/>
      <c r="FU50" s="209"/>
      <c r="FV50" s="209"/>
      <c r="FW50" s="209"/>
      <c r="FX50" s="209"/>
      <c r="FY50" s="209"/>
      <c r="FZ50" s="209"/>
      <c r="GA50" s="209"/>
      <c r="GB50" s="209"/>
      <c r="GC50" s="209"/>
      <c r="GD50" s="209"/>
      <c r="GE50" s="209"/>
      <c r="GF50" s="209"/>
      <c r="GG50" s="209"/>
      <c r="GH50" s="209"/>
      <c r="GI50" s="209"/>
      <c r="GJ50" s="209"/>
      <c r="GK50" s="209"/>
      <c r="GL50" s="209"/>
      <c r="GM50" s="209"/>
      <c r="GN50" s="209"/>
      <c r="GO50" s="209"/>
      <c r="GP50" s="209"/>
      <c r="GQ50" s="209"/>
      <c r="GR50" s="209"/>
      <c r="GS50" s="209"/>
      <c r="GT50" s="209"/>
      <c r="GU50" s="209"/>
      <c r="GV50" s="209"/>
      <c r="GW50" s="209"/>
      <c r="GX50" s="209"/>
      <c r="GY50" s="209"/>
      <c r="GZ50" s="209"/>
      <c r="HA50" s="209"/>
      <c r="HB50" s="209"/>
      <c r="HC50" s="209"/>
      <c r="HD50" s="209"/>
      <c r="HE50" s="209"/>
      <c r="HF50" s="209"/>
      <c r="HG50" s="209"/>
      <c r="HH50" s="209"/>
      <c r="HI50" s="209"/>
      <c r="HJ50" s="210"/>
      <c r="HK50" s="210"/>
      <c r="HL50" s="210"/>
      <c r="HM50" s="210"/>
      <c r="HN50" s="210"/>
      <c r="HO50" s="210"/>
      <c r="HP50" s="210"/>
      <c r="HQ50" s="210"/>
      <c r="HR50" s="210"/>
      <c r="HS50" s="210"/>
      <c r="HT50" s="210"/>
      <c r="HU50" s="210"/>
      <c r="HV50" s="210"/>
      <c r="HW50" s="210"/>
      <c r="HX50" s="210"/>
      <c r="HY50" s="210"/>
      <c r="HZ50" s="210"/>
      <c r="IA50" s="210"/>
      <c r="IB50" s="210"/>
      <c r="IC50" s="210"/>
      <c r="ID50" s="210"/>
      <c r="IE50" s="210"/>
      <c r="IF50" s="210"/>
      <c r="IG50" s="210"/>
      <c r="IH50" s="210"/>
      <c r="II50" s="210"/>
      <c r="IJ50" s="210"/>
    </row>
    <row r="51" s="187" customFormat="1" ht="29.1" customHeight="1" spans="1:244">
      <c r="A51" s="198" t="s">
        <v>93</v>
      </c>
      <c r="B51" s="54"/>
      <c r="C51" s="197"/>
      <c r="D51" s="197"/>
      <c r="E51" s="197"/>
      <c r="F51" s="197"/>
      <c r="G51" s="54">
        <f t="shared" si="1"/>
        <v>0</v>
      </c>
      <c r="H51" s="194"/>
      <c r="I51" s="207"/>
      <c r="J51" s="54"/>
      <c r="K51" s="54"/>
      <c r="L51" s="54"/>
      <c r="M51" s="54"/>
      <c r="N51" s="54"/>
      <c r="O51" s="54">
        <f t="shared" si="3"/>
        <v>0</v>
      </c>
      <c r="P51" s="194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09"/>
      <c r="BY51" s="209"/>
      <c r="BZ51" s="209"/>
      <c r="CA51" s="209"/>
      <c r="CB51" s="209"/>
      <c r="CC51" s="209"/>
      <c r="CD51" s="209"/>
      <c r="CE51" s="209"/>
      <c r="CF51" s="209"/>
      <c r="CG51" s="209"/>
      <c r="CH51" s="209"/>
      <c r="CI51" s="209"/>
      <c r="CJ51" s="209"/>
      <c r="CK51" s="209"/>
      <c r="CL51" s="209"/>
      <c r="CM51" s="209"/>
      <c r="CN51" s="209"/>
      <c r="CO51" s="209"/>
      <c r="CP51" s="209"/>
      <c r="CQ51" s="209"/>
      <c r="CR51" s="209"/>
      <c r="CS51" s="209"/>
      <c r="CT51" s="209"/>
      <c r="CU51" s="209"/>
      <c r="CV51" s="209"/>
      <c r="CW51" s="209"/>
      <c r="CX51" s="209"/>
      <c r="CY51" s="209"/>
      <c r="CZ51" s="209"/>
      <c r="DA51" s="209"/>
      <c r="DB51" s="209"/>
      <c r="DC51" s="209"/>
      <c r="DD51" s="209"/>
      <c r="DE51" s="209"/>
      <c r="DF51" s="209"/>
      <c r="DG51" s="209"/>
      <c r="DH51" s="209"/>
      <c r="DI51" s="209"/>
      <c r="DJ51" s="209"/>
      <c r="DK51" s="209"/>
      <c r="DL51" s="209"/>
      <c r="DM51" s="209"/>
      <c r="DN51" s="209"/>
      <c r="DO51" s="209"/>
      <c r="DP51" s="209"/>
      <c r="DQ51" s="209"/>
      <c r="DR51" s="209"/>
      <c r="DS51" s="209"/>
      <c r="DT51" s="209"/>
      <c r="DU51" s="209"/>
      <c r="DV51" s="209"/>
      <c r="DW51" s="209"/>
      <c r="DX51" s="209"/>
      <c r="DY51" s="209"/>
      <c r="DZ51" s="209"/>
      <c r="EA51" s="209"/>
      <c r="EB51" s="209"/>
      <c r="EC51" s="209"/>
      <c r="ED51" s="209"/>
      <c r="EE51" s="209"/>
      <c r="EF51" s="209"/>
      <c r="EG51" s="209"/>
      <c r="EH51" s="209"/>
      <c r="EI51" s="209"/>
      <c r="EJ51" s="209"/>
      <c r="EK51" s="209"/>
      <c r="EL51" s="209"/>
      <c r="EM51" s="209"/>
      <c r="EN51" s="209"/>
      <c r="EO51" s="209"/>
      <c r="EP51" s="209"/>
      <c r="EQ51" s="209"/>
      <c r="ER51" s="209"/>
      <c r="ES51" s="209"/>
      <c r="ET51" s="209"/>
      <c r="EU51" s="209"/>
      <c r="EV51" s="209"/>
      <c r="EW51" s="209"/>
      <c r="EX51" s="209"/>
      <c r="EY51" s="209"/>
      <c r="EZ51" s="209"/>
      <c r="FA51" s="209"/>
      <c r="FB51" s="209"/>
      <c r="FC51" s="209"/>
      <c r="FD51" s="209"/>
      <c r="FE51" s="209"/>
      <c r="FF51" s="209"/>
      <c r="FG51" s="209"/>
      <c r="FH51" s="209"/>
      <c r="FI51" s="209"/>
      <c r="FJ51" s="209"/>
      <c r="FK51" s="209"/>
      <c r="FL51" s="209"/>
      <c r="FM51" s="209"/>
      <c r="FN51" s="209"/>
      <c r="FO51" s="209"/>
      <c r="FP51" s="209"/>
      <c r="FQ51" s="209"/>
      <c r="FR51" s="209"/>
      <c r="FS51" s="209"/>
      <c r="FT51" s="209"/>
      <c r="FU51" s="209"/>
      <c r="FV51" s="209"/>
      <c r="FW51" s="209"/>
      <c r="FX51" s="209"/>
      <c r="FY51" s="209"/>
      <c r="FZ51" s="209"/>
      <c r="GA51" s="209"/>
      <c r="GB51" s="209"/>
      <c r="GC51" s="209"/>
      <c r="GD51" s="209"/>
      <c r="GE51" s="209"/>
      <c r="GF51" s="209"/>
      <c r="GG51" s="209"/>
      <c r="GH51" s="209"/>
      <c r="GI51" s="209"/>
      <c r="GJ51" s="209"/>
      <c r="GK51" s="209"/>
      <c r="GL51" s="209"/>
      <c r="GM51" s="209"/>
      <c r="GN51" s="209"/>
      <c r="GO51" s="209"/>
      <c r="GP51" s="209"/>
      <c r="GQ51" s="209"/>
      <c r="GR51" s="209"/>
      <c r="GS51" s="209"/>
      <c r="GT51" s="209"/>
      <c r="GU51" s="209"/>
      <c r="GV51" s="209"/>
      <c r="GW51" s="209"/>
      <c r="GX51" s="209"/>
      <c r="GY51" s="209"/>
      <c r="GZ51" s="209"/>
      <c r="HA51" s="209"/>
      <c r="HB51" s="209"/>
      <c r="HC51" s="209"/>
      <c r="HD51" s="209"/>
      <c r="HE51" s="209"/>
      <c r="HF51" s="209"/>
      <c r="HG51" s="209"/>
      <c r="HH51" s="209"/>
      <c r="HI51" s="209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</row>
    <row r="52" s="187" customFormat="1" ht="21" customHeight="1" spans="1:244">
      <c r="A52" s="195" t="s">
        <v>94</v>
      </c>
      <c r="B52" s="105">
        <v>26785</v>
      </c>
      <c r="C52" s="49">
        <v>10785</v>
      </c>
      <c r="D52" s="49">
        <v>10785</v>
      </c>
      <c r="E52" s="49"/>
      <c r="F52" s="49">
        <v>10785</v>
      </c>
      <c r="G52" s="49">
        <f t="shared" si="1"/>
        <v>-16000</v>
      </c>
      <c r="H52" s="192">
        <f t="shared" ref="H52:H57" si="7">G52/B52</f>
        <v>-0.597349262647004</v>
      </c>
      <c r="I52" s="207"/>
      <c r="J52" s="54"/>
      <c r="K52" s="54"/>
      <c r="L52" s="54"/>
      <c r="M52" s="54"/>
      <c r="N52" s="54"/>
      <c r="O52" s="54">
        <f t="shared" si="3"/>
        <v>0</v>
      </c>
      <c r="P52" s="194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09"/>
      <c r="BY52" s="209"/>
      <c r="BZ52" s="209"/>
      <c r="CA52" s="209"/>
      <c r="CB52" s="209"/>
      <c r="CC52" s="209"/>
      <c r="CD52" s="209"/>
      <c r="CE52" s="209"/>
      <c r="CF52" s="209"/>
      <c r="CG52" s="209"/>
      <c r="CH52" s="209"/>
      <c r="CI52" s="209"/>
      <c r="CJ52" s="209"/>
      <c r="CK52" s="209"/>
      <c r="CL52" s="209"/>
      <c r="CM52" s="209"/>
      <c r="CN52" s="209"/>
      <c r="CO52" s="209"/>
      <c r="CP52" s="209"/>
      <c r="CQ52" s="209"/>
      <c r="CR52" s="209"/>
      <c r="CS52" s="209"/>
      <c r="CT52" s="209"/>
      <c r="CU52" s="209"/>
      <c r="CV52" s="209"/>
      <c r="CW52" s="209"/>
      <c r="CX52" s="209"/>
      <c r="CY52" s="209"/>
      <c r="CZ52" s="209"/>
      <c r="DA52" s="209"/>
      <c r="DB52" s="209"/>
      <c r="DC52" s="209"/>
      <c r="DD52" s="209"/>
      <c r="DE52" s="209"/>
      <c r="DF52" s="209"/>
      <c r="DG52" s="209"/>
      <c r="DH52" s="209"/>
      <c r="DI52" s="209"/>
      <c r="DJ52" s="209"/>
      <c r="DK52" s="209"/>
      <c r="DL52" s="209"/>
      <c r="DM52" s="209"/>
      <c r="DN52" s="209"/>
      <c r="DO52" s="209"/>
      <c r="DP52" s="209"/>
      <c r="DQ52" s="209"/>
      <c r="DR52" s="209"/>
      <c r="DS52" s="209"/>
      <c r="DT52" s="209"/>
      <c r="DU52" s="209"/>
      <c r="DV52" s="209"/>
      <c r="DW52" s="209"/>
      <c r="DX52" s="209"/>
      <c r="DY52" s="209"/>
      <c r="DZ52" s="209"/>
      <c r="EA52" s="209"/>
      <c r="EB52" s="209"/>
      <c r="EC52" s="209"/>
      <c r="ED52" s="209"/>
      <c r="EE52" s="209"/>
      <c r="EF52" s="209"/>
      <c r="EG52" s="209"/>
      <c r="EH52" s="209"/>
      <c r="EI52" s="209"/>
      <c r="EJ52" s="209"/>
      <c r="EK52" s="209"/>
      <c r="EL52" s="209"/>
      <c r="EM52" s="209"/>
      <c r="EN52" s="209"/>
      <c r="EO52" s="209"/>
      <c r="EP52" s="209"/>
      <c r="EQ52" s="209"/>
      <c r="ER52" s="209"/>
      <c r="ES52" s="209"/>
      <c r="ET52" s="209"/>
      <c r="EU52" s="209"/>
      <c r="EV52" s="209"/>
      <c r="EW52" s="209"/>
      <c r="EX52" s="209"/>
      <c r="EY52" s="209"/>
      <c r="EZ52" s="209"/>
      <c r="FA52" s="209"/>
      <c r="FB52" s="209"/>
      <c r="FC52" s="209"/>
      <c r="FD52" s="209"/>
      <c r="FE52" s="209"/>
      <c r="FF52" s="209"/>
      <c r="FG52" s="209"/>
      <c r="FH52" s="209"/>
      <c r="FI52" s="209"/>
      <c r="FJ52" s="209"/>
      <c r="FK52" s="209"/>
      <c r="FL52" s="209"/>
      <c r="FM52" s="209"/>
      <c r="FN52" s="209"/>
      <c r="FO52" s="209"/>
      <c r="FP52" s="209"/>
      <c r="FQ52" s="209"/>
      <c r="FR52" s="209"/>
      <c r="FS52" s="209"/>
      <c r="FT52" s="209"/>
      <c r="FU52" s="209"/>
      <c r="FV52" s="209"/>
      <c r="FW52" s="209"/>
      <c r="FX52" s="209"/>
      <c r="FY52" s="209"/>
      <c r="FZ52" s="209"/>
      <c r="GA52" s="209"/>
      <c r="GB52" s="209"/>
      <c r="GC52" s="209"/>
      <c r="GD52" s="209"/>
      <c r="GE52" s="209"/>
      <c r="GF52" s="209"/>
      <c r="GG52" s="209"/>
      <c r="GH52" s="209"/>
      <c r="GI52" s="209"/>
      <c r="GJ52" s="209"/>
      <c r="GK52" s="209"/>
      <c r="GL52" s="209"/>
      <c r="GM52" s="209"/>
      <c r="GN52" s="209"/>
      <c r="GO52" s="209"/>
      <c r="GP52" s="209"/>
      <c r="GQ52" s="209"/>
      <c r="GR52" s="209"/>
      <c r="GS52" s="209"/>
      <c r="GT52" s="209"/>
      <c r="GU52" s="209"/>
      <c r="GV52" s="209"/>
      <c r="GW52" s="209"/>
      <c r="GX52" s="209"/>
      <c r="GY52" s="209"/>
      <c r="GZ52" s="209"/>
      <c r="HA52" s="209"/>
      <c r="HB52" s="209"/>
      <c r="HC52" s="209"/>
      <c r="HD52" s="209"/>
      <c r="HE52" s="209"/>
      <c r="HF52" s="209"/>
      <c r="HG52" s="209"/>
      <c r="HH52" s="209"/>
      <c r="HI52" s="209"/>
      <c r="HJ52" s="210"/>
      <c r="HK52" s="210"/>
      <c r="HL52" s="210"/>
      <c r="HM52" s="210"/>
      <c r="HN52" s="210"/>
      <c r="HO52" s="210"/>
      <c r="HP52" s="210"/>
      <c r="HQ52" s="210"/>
      <c r="HR52" s="210"/>
      <c r="HS52" s="210"/>
      <c r="HT52" s="210"/>
      <c r="HU52" s="210"/>
      <c r="HV52" s="210"/>
      <c r="HW52" s="210"/>
      <c r="HX52" s="210"/>
      <c r="HY52" s="210"/>
      <c r="HZ52" s="210"/>
      <c r="IA52" s="210"/>
      <c r="IB52" s="210"/>
      <c r="IC52" s="210"/>
      <c r="ID52" s="210"/>
      <c r="IE52" s="210"/>
      <c r="IF52" s="210"/>
      <c r="IG52" s="210"/>
      <c r="IH52" s="210"/>
      <c r="II52" s="210"/>
      <c r="IJ52" s="210"/>
    </row>
    <row r="53" s="187" customFormat="1" ht="21" customHeight="1" spans="1:244">
      <c r="A53" s="200" t="s">
        <v>95</v>
      </c>
      <c r="B53" s="105">
        <v>4080</v>
      </c>
      <c r="C53" s="49"/>
      <c r="D53" s="49">
        <v>66</v>
      </c>
      <c r="E53" s="49"/>
      <c r="F53" s="49">
        <v>66</v>
      </c>
      <c r="G53" s="49">
        <f t="shared" si="1"/>
        <v>-4014</v>
      </c>
      <c r="H53" s="192">
        <f t="shared" si="7"/>
        <v>-0.983823529411765</v>
      </c>
      <c r="I53" s="207"/>
      <c r="J53" s="54"/>
      <c r="K53" s="54"/>
      <c r="L53" s="54"/>
      <c r="M53" s="54"/>
      <c r="N53" s="54"/>
      <c r="O53" s="54">
        <f t="shared" si="3"/>
        <v>0</v>
      </c>
      <c r="P53" s="194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  <c r="BZ53" s="209"/>
      <c r="CA53" s="209"/>
      <c r="CB53" s="209"/>
      <c r="CC53" s="209"/>
      <c r="CD53" s="209"/>
      <c r="CE53" s="209"/>
      <c r="CF53" s="209"/>
      <c r="CG53" s="209"/>
      <c r="CH53" s="209"/>
      <c r="CI53" s="209"/>
      <c r="CJ53" s="209"/>
      <c r="CK53" s="209"/>
      <c r="CL53" s="209"/>
      <c r="CM53" s="209"/>
      <c r="CN53" s="209"/>
      <c r="CO53" s="209"/>
      <c r="CP53" s="209"/>
      <c r="CQ53" s="209"/>
      <c r="CR53" s="209"/>
      <c r="CS53" s="209"/>
      <c r="CT53" s="209"/>
      <c r="CU53" s="209"/>
      <c r="CV53" s="209"/>
      <c r="CW53" s="209"/>
      <c r="CX53" s="209"/>
      <c r="CY53" s="209"/>
      <c r="CZ53" s="209"/>
      <c r="DA53" s="209"/>
      <c r="DB53" s="209"/>
      <c r="DC53" s="209"/>
      <c r="DD53" s="209"/>
      <c r="DE53" s="209"/>
      <c r="DF53" s="209"/>
      <c r="DG53" s="209"/>
      <c r="DH53" s="209"/>
      <c r="DI53" s="209"/>
      <c r="DJ53" s="209"/>
      <c r="DK53" s="209"/>
      <c r="DL53" s="209"/>
      <c r="DM53" s="209"/>
      <c r="DN53" s="209"/>
      <c r="DO53" s="209"/>
      <c r="DP53" s="209"/>
      <c r="DQ53" s="209"/>
      <c r="DR53" s="209"/>
      <c r="DS53" s="209"/>
      <c r="DT53" s="209"/>
      <c r="DU53" s="209"/>
      <c r="DV53" s="209"/>
      <c r="DW53" s="209"/>
      <c r="DX53" s="209"/>
      <c r="DY53" s="209"/>
      <c r="DZ53" s="209"/>
      <c r="EA53" s="209"/>
      <c r="EB53" s="209"/>
      <c r="EC53" s="209"/>
      <c r="ED53" s="209"/>
      <c r="EE53" s="209"/>
      <c r="EF53" s="209"/>
      <c r="EG53" s="209"/>
      <c r="EH53" s="209"/>
      <c r="EI53" s="209"/>
      <c r="EJ53" s="209"/>
      <c r="EK53" s="209"/>
      <c r="EL53" s="209"/>
      <c r="EM53" s="209"/>
      <c r="EN53" s="209"/>
      <c r="EO53" s="209"/>
      <c r="EP53" s="209"/>
      <c r="EQ53" s="209"/>
      <c r="ER53" s="209"/>
      <c r="ES53" s="209"/>
      <c r="ET53" s="209"/>
      <c r="EU53" s="209"/>
      <c r="EV53" s="209"/>
      <c r="EW53" s="209"/>
      <c r="EX53" s="209"/>
      <c r="EY53" s="209"/>
      <c r="EZ53" s="209"/>
      <c r="FA53" s="209"/>
      <c r="FB53" s="209"/>
      <c r="FC53" s="209"/>
      <c r="FD53" s="209"/>
      <c r="FE53" s="209"/>
      <c r="FF53" s="209"/>
      <c r="FG53" s="209"/>
      <c r="FH53" s="209"/>
      <c r="FI53" s="209"/>
      <c r="FJ53" s="209"/>
      <c r="FK53" s="209"/>
      <c r="FL53" s="209"/>
      <c r="FM53" s="209"/>
      <c r="FN53" s="209"/>
      <c r="FO53" s="209"/>
      <c r="FP53" s="209"/>
      <c r="FQ53" s="209"/>
      <c r="FR53" s="209"/>
      <c r="FS53" s="209"/>
      <c r="FT53" s="209"/>
      <c r="FU53" s="209"/>
      <c r="FV53" s="209"/>
      <c r="FW53" s="209"/>
      <c r="FX53" s="209"/>
      <c r="FY53" s="209"/>
      <c r="FZ53" s="209"/>
      <c r="GA53" s="209"/>
      <c r="GB53" s="209"/>
      <c r="GC53" s="209"/>
      <c r="GD53" s="209"/>
      <c r="GE53" s="209"/>
      <c r="GF53" s="209"/>
      <c r="GG53" s="209"/>
      <c r="GH53" s="209"/>
      <c r="GI53" s="209"/>
      <c r="GJ53" s="209"/>
      <c r="GK53" s="209"/>
      <c r="GL53" s="209"/>
      <c r="GM53" s="209"/>
      <c r="GN53" s="209"/>
      <c r="GO53" s="209"/>
      <c r="GP53" s="209"/>
      <c r="GQ53" s="209"/>
      <c r="GR53" s="209"/>
      <c r="GS53" s="209"/>
      <c r="GT53" s="209"/>
      <c r="GU53" s="209"/>
      <c r="GV53" s="209"/>
      <c r="GW53" s="209"/>
      <c r="GX53" s="209"/>
      <c r="GY53" s="209"/>
      <c r="GZ53" s="209"/>
      <c r="HA53" s="209"/>
      <c r="HB53" s="209"/>
      <c r="HC53" s="209"/>
      <c r="HD53" s="209"/>
      <c r="HE53" s="209"/>
      <c r="HF53" s="209"/>
      <c r="HG53" s="209"/>
      <c r="HH53" s="209"/>
      <c r="HI53" s="209"/>
      <c r="HJ53" s="210"/>
      <c r="HK53" s="210"/>
      <c r="HL53" s="210"/>
      <c r="HM53" s="210"/>
      <c r="HN53" s="210"/>
      <c r="HO53" s="210"/>
      <c r="HP53" s="210"/>
      <c r="HQ53" s="210"/>
      <c r="HR53" s="210"/>
      <c r="HS53" s="210"/>
      <c r="HT53" s="210"/>
      <c r="HU53" s="210"/>
      <c r="HV53" s="210"/>
      <c r="HW53" s="210"/>
      <c r="HX53" s="210"/>
      <c r="HY53" s="210"/>
      <c r="HZ53" s="210"/>
      <c r="IA53" s="210"/>
      <c r="IB53" s="210"/>
      <c r="IC53" s="210"/>
      <c r="ID53" s="210"/>
      <c r="IE53" s="210"/>
      <c r="IF53" s="210"/>
      <c r="IG53" s="210"/>
      <c r="IH53" s="210"/>
      <c r="II53" s="210"/>
      <c r="IJ53" s="210"/>
    </row>
    <row r="54" s="187" customFormat="1" ht="27.95" customHeight="1" spans="1:244">
      <c r="A54" s="195" t="s">
        <v>96</v>
      </c>
      <c r="B54" s="49">
        <v>47700</v>
      </c>
      <c r="C54" s="49">
        <v>49275</v>
      </c>
      <c r="D54" s="49">
        <v>86675</v>
      </c>
      <c r="E54" s="49"/>
      <c r="F54" s="49">
        <v>86675</v>
      </c>
      <c r="G54" s="49">
        <f t="shared" si="1"/>
        <v>38975</v>
      </c>
      <c r="H54" s="192">
        <f t="shared" si="7"/>
        <v>0.817085953878407</v>
      </c>
      <c r="I54" s="200"/>
      <c r="J54" s="49"/>
      <c r="K54" s="49"/>
      <c r="L54" s="49"/>
      <c r="M54" s="49"/>
      <c r="N54" s="49"/>
      <c r="O54" s="49">
        <f t="shared" si="3"/>
        <v>0</v>
      </c>
      <c r="P54" s="194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09"/>
      <c r="BY54" s="209"/>
      <c r="BZ54" s="209"/>
      <c r="CA54" s="209"/>
      <c r="CB54" s="209"/>
      <c r="CC54" s="209"/>
      <c r="CD54" s="209"/>
      <c r="CE54" s="209"/>
      <c r="CF54" s="209"/>
      <c r="CG54" s="209"/>
      <c r="CH54" s="209"/>
      <c r="CI54" s="209"/>
      <c r="CJ54" s="209"/>
      <c r="CK54" s="209"/>
      <c r="CL54" s="209"/>
      <c r="CM54" s="209"/>
      <c r="CN54" s="209"/>
      <c r="CO54" s="209"/>
      <c r="CP54" s="209"/>
      <c r="CQ54" s="209"/>
      <c r="CR54" s="209"/>
      <c r="CS54" s="209"/>
      <c r="CT54" s="209"/>
      <c r="CU54" s="209"/>
      <c r="CV54" s="209"/>
      <c r="CW54" s="209"/>
      <c r="CX54" s="209"/>
      <c r="CY54" s="209"/>
      <c r="CZ54" s="209"/>
      <c r="DA54" s="209"/>
      <c r="DB54" s="209"/>
      <c r="DC54" s="209"/>
      <c r="DD54" s="209"/>
      <c r="DE54" s="209"/>
      <c r="DF54" s="209"/>
      <c r="DG54" s="209"/>
      <c r="DH54" s="209"/>
      <c r="DI54" s="209"/>
      <c r="DJ54" s="209"/>
      <c r="DK54" s="209"/>
      <c r="DL54" s="209"/>
      <c r="DM54" s="209"/>
      <c r="DN54" s="209"/>
      <c r="DO54" s="209"/>
      <c r="DP54" s="209"/>
      <c r="DQ54" s="209"/>
      <c r="DR54" s="209"/>
      <c r="DS54" s="209"/>
      <c r="DT54" s="209"/>
      <c r="DU54" s="209"/>
      <c r="DV54" s="209"/>
      <c r="DW54" s="209"/>
      <c r="DX54" s="209"/>
      <c r="DY54" s="209"/>
      <c r="DZ54" s="209"/>
      <c r="EA54" s="209"/>
      <c r="EB54" s="209"/>
      <c r="EC54" s="209"/>
      <c r="ED54" s="209"/>
      <c r="EE54" s="209"/>
      <c r="EF54" s="209"/>
      <c r="EG54" s="209"/>
      <c r="EH54" s="209"/>
      <c r="EI54" s="209"/>
      <c r="EJ54" s="209"/>
      <c r="EK54" s="209"/>
      <c r="EL54" s="209"/>
      <c r="EM54" s="209"/>
      <c r="EN54" s="209"/>
      <c r="EO54" s="209"/>
      <c r="EP54" s="209"/>
      <c r="EQ54" s="209"/>
      <c r="ER54" s="209"/>
      <c r="ES54" s="209"/>
      <c r="ET54" s="209"/>
      <c r="EU54" s="209"/>
      <c r="EV54" s="209"/>
      <c r="EW54" s="209"/>
      <c r="EX54" s="209"/>
      <c r="EY54" s="209"/>
      <c r="EZ54" s="209"/>
      <c r="FA54" s="209"/>
      <c r="FB54" s="209"/>
      <c r="FC54" s="209"/>
      <c r="FD54" s="209"/>
      <c r="FE54" s="209"/>
      <c r="FF54" s="209"/>
      <c r="FG54" s="209"/>
      <c r="FH54" s="209"/>
      <c r="FI54" s="209"/>
      <c r="FJ54" s="209"/>
      <c r="FK54" s="209"/>
      <c r="FL54" s="209"/>
      <c r="FM54" s="209"/>
      <c r="FN54" s="209"/>
      <c r="FO54" s="209"/>
      <c r="FP54" s="209"/>
      <c r="FQ54" s="209"/>
      <c r="FR54" s="209"/>
      <c r="FS54" s="209"/>
      <c r="FT54" s="209"/>
      <c r="FU54" s="209"/>
      <c r="FV54" s="209"/>
      <c r="FW54" s="209"/>
      <c r="FX54" s="209"/>
      <c r="FY54" s="209"/>
      <c r="FZ54" s="209"/>
      <c r="GA54" s="209"/>
      <c r="GB54" s="209"/>
      <c r="GC54" s="209"/>
      <c r="GD54" s="209"/>
      <c r="GE54" s="209"/>
      <c r="GF54" s="209"/>
      <c r="GG54" s="209"/>
      <c r="GH54" s="209"/>
      <c r="GI54" s="209"/>
      <c r="GJ54" s="209"/>
      <c r="GK54" s="209"/>
      <c r="GL54" s="209"/>
      <c r="GM54" s="209"/>
      <c r="GN54" s="209"/>
      <c r="GO54" s="209"/>
      <c r="GP54" s="209"/>
      <c r="GQ54" s="209"/>
      <c r="GR54" s="209"/>
      <c r="GS54" s="209"/>
      <c r="GT54" s="209"/>
      <c r="GU54" s="209"/>
      <c r="GV54" s="209"/>
      <c r="GW54" s="209"/>
      <c r="GX54" s="209"/>
      <c r="GY54" s="209"/>
      <c r="GZ54" s="209"/>
      <c r="HA54" s="209"/>
      <c r="HB54" s="209"/>
      <c r="HC54" s="209"/>
      <c r="HD54" s="209"/>
      <c r="HE54" s="209"/>
      <c r="HF54" s="209"/>
      <c r="HG54" s="209"/>
      <c r="HH54" s="209"/>
      <c r="HI54" s="209"/>
      <c r="HJ54" s="210"/>
      <c r="HK54" s="210"/>
      <c r="HL54" s="210"/>
      <c r="HM54" s="210"/>
      <c r="HN54" s="210"/>
      <c r="HO54" s="210"/>
      <c r="HP54" s="210"/>
      <c r="HQ54" s="210"/>
      <c r="HR54" s="210"/>
      <c r="HS54" s="210"/>
      <c r="HT54" s="210"/>
      <c r="HU54" s="210"/>
      <c r="HV54" s="210"/>
      <c r="HW54" s="210"/>
      <c r="HX54" s="210"/>
      <c r="HY54" s="210"/>
      <c r="HZ54" s="210"/>
      <c r="IA54" s="210"/>
      <c r="IB54" s="210"/>
      <c r="IC54" s="210"/>
      <c r="ID54" s="210"/>
      <c r="IE54" s="210"/>
      <c r="IF54" s="210"/>
      <c r="IG54" s="210"/>
      <c r="IH54" s="210"/>
      <c r="II54" s="210"/>
      <c r="IJ54" s="210"/>
    </row>
    <row r="55" s="187" customFormat="1" ht="27" customHeight="1" spans="1:244">
      <c r="A55" s="195" t="s">
        <v>97</v>
      </c>
      <c r="B55" s="49">
        <v>7134</v>
      </c>
      <c r="C55" s="49">
        <v>25239</v>
      </c>
      <c r="D55" s="49">
        <v>25239</v>
      </c>
      <c r="E55" s="49">
        <v>-471</v>
      </c>
      <c r="F55" s="49">
        <f>D55+E55</f>
        <v>24768</v>
      </c>
      <c r="G55" s="49">
        <f t="shared" si="1"/>
        <v>17634</v>
      </c>
      <c r="H55" s="192">
        <f t="shared" si="7"/>
        <v>2.47182506307822</v>
      </c>
      <c r="I55" s="200"/>
      <c r="J55" s="208"/>
      <c r="K55" s="49"/>
      <c r="L55" s="49"/>
      <c r="M55" s="49"/>
      <c r="N55" s="49"/>
      <c r="O55" s="49">
        <f t="shared" si="3"/>
        <v>0</v>
      </c>
      <c r="P55" s="194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09"/>
      <c r="CM55" s="209"/>
      <c r="CN55" s="209"/>
      <c r="CO55" s="209"/>
      <c r="CP55" s="209"/>
      <c r="CQ55" s="209"/>
      <c r="CR55" s="209"/>
      <c r="CS55" s="209"/>
      <c r="CT55" s="209"/>
      <c r="CU55" s="209"/>
      <c r="CV55" s="209"/>
      <c r="CW55" s="209"/>
      <c r="CX55" s="209"/>
      <c r="CY55" s="209"/>
      <c r="CZ55" s="209"/>
      <c r="DA55" s="209"/>
      <c r="DB55" s="209"/>
      <c r="DC55" s="209"/>
      <c r="DD55" s="209"/>
      <c r="DE55" s="209"/>
      <c r="DF55" s="209"/>
      <c r="DG55" s="209"/>
      <c r="DH55" s="209"/>
      <c r="DI55" s="209"/>
      <c r="DJ55" s="209"/>
      <c r="DK55" s="209"/>
      <c r="DL55" s="209"/>
      <c r="DM55" s="209"/>
      <c r="DN55" s="209"/>
      <c r="DO55" s="209"/>
      <c r="DP55" s="209"/>
      <c r="DQ55" s="209"/>
      <c r="DR55" s="209"/>
      <c r="DS55" s="209"/>
      <c r="DT55" s="209"/>
      <c r="DU55" s="209"/>
      <c r="DV55" s="209"/>
      <c r="DW55" s="209"/>
      <c r="DX55" s="209"/>
      <c r="DY55" s="209"/>
      <c r="DZ55" s="209"/>
      <c r="EA55" s="209"/>
      <c r="EB55" s="209"/>
      <c r="EC55" s="209"/>
      <c r="ED55" s="209"/>
      <c r="EE55" s="209"/>
      <c r="EF55" s="209"/>
      <c r="EG55" s="209"/>
      <c r="EH55" s="209"/>
      <c r="EI55" s="209"/>
      <c r="EJ55" s="209"/>
      <c r="EK55" s="209"/>
      <c r="EL55" s="209"/>
      <c r="EM55" s="209"/>
      <c r="EN55" s="209"/>
      <c r="EO55" s="209"/>
      <c r="EP55" s="209"/>
      <c r="EQ55" s="209"/>
      <c r="ER55" s="209"/>
      <c r="ES55" s="209"/>
      <c r="ET55" s="209"/>
      <c r="EU55" s="209"/>
      <c r="EV55" s="209"/>
      <c r="EW55" s="209"/>
      <c r="EX55" s="209"/>
      <c r="EY55" s="209"/>
      <c r="EZ55" s="209"/>
      <c r="FA55" s="209"/>
      <c r="FB55" s="209"/>
      <c r="FC55" s="209"/>
      <c r="FD55" s="209"/>
      <c r="FE55" s="209"/>
      <c r="FF55" s="209"/>
      <c r="FG55" s="209"/>
      <c r="FH55" s="209"/>
      <c r="FI55" s="209"/>
      <c r="FJ55" s="209"/>
      <c r="FK55" s="209"/>
      <c r="FL55" s="209"/>
      <c r="FM55" s="209"/>
      <c r="FN55" s="209"/>
      <c r="FO55" s="209"/>
      <c r="FP55" s="209"/>
      <c r="FQ55" s="209"/>
      <c r="FR55" s="209"/>
      <c r="FS55" s="209"/>
      <c r="FT55" s="209"/>
      <c r="FU55" s="209"/>
      <c r="FV55" s="209"/>
      <c r="FW55" s="209"/>
      <c r="FX55" s="209"/>
      <c r="FY55" s="209"/>
      <c r="FZ55" s="209"/>
      <c r="GA55" s="209"/>
      <c r="GB55" s="209"/>
      <c r="GC55" s="209"/>
      <c r="GD55" s="209"/>
      <c r="GE55" s="209"/>
      <c r="GF55" s="209"/>
      <c r="GG55" s="209"/>
      <c r="GH55" s="209"/>
      <c r="GI55" s="209"/>
      <c r="GJ55" s="209"/>
      <c r="GK55" s="209"/>
      <c r="GL55" s="209"/>
      <c r="GM55" s="209"/>
      <c r="GN55" s="209"/>
      <c r="GO55" s="209"/>
      <c r="GP55" s="209"/>
      <c r="GQ55" s="209"/>
      <c r="GR55" s="209"/>
      <c r="GS55" s="209"/>
      <c r="GT55" s="209"/>
      <c r="GU55" s="209"/>
      <c r="GV55" s="209"/>
      <c r="GW55" s="209"/>
      <c r="GX55" s="209"/>
      <c r="GY55" s="209"/>
      <c r="GZ55" s="209"/>
      <c r="HA55" s="209"/>
      <c r="HB55" s="209"/>
      <c r="HC55" s="209"/>
      <c r="HD55" s="209"/>
      <c r="HE55" s="209"/>
      <c r="HF55" s="209"/>
      <c r="HG55" s="209"/>
      <c r="HH55" s="209"/>
      <c r="HI55" s="209"/>
      <c r="HJ55" s="210"/>
      <c r="HK55" s="210"/>
      <c r="HL55" s="210"/>
      <c r="HM55" s="210"/>
      <c r="HN55" s="210"/>
      <c r="HO55" s="210"/>
      <c r="HP55" s="210"/>
      <c r="HQ55" s="210"/>
      <c r="HR55" s="210"/>
      <c r="HS55" s="210"/>
      <c r="HT55" s="210"/>
      <c r="HU55" s="210"/>
      <c r="HV55" s="210"/>
      <c r="HW55" s="210"/>
      <c r="HX55" s="210"/>
      <c r="HY55" s="210"/>
      <c r="HZ55" s="210"/>
      <c r="IA55" s="210"/>
      <c r="IB55" s="210"/>
      <c r="IC55" s="210"/>
      <c r="ID55" s="210"/>
      <c r="IE55" s="210"/>
      <c r="IF55" s="210"/>
      <c r="IG55" s="210"/>
      <c r="IH55" s="210"/>
      <c r="II55" s="210"/>
      <c r="IJ55" s="210"/>
    </row>
    <row r="56" s="187" customFormat="1" ht="21" customHeight="1" spans="1:244">
      <c r="A56" s="200" t="s">
        <v>98</v>
      </c>
      <c r="B56" s="49">
        <v>91764</v>
      </c>
      <c r="C56" s="49">
        <v>92050</v>
      </c>
      <c r="D56" s="49">
        <v>92050</v>
      </c>
      <c r="E56" s="49"/>
      <c r="F56" s="49">
        <v>92050</v>
      </c>
      <c r="G56" s="49">
        <f t="shared" si="1"/>
        <v>286</v>
      </c>
      <c r="H56" s="192">
        <f t="shared" si="7"/>
        <v>0.00311669064121006</v>
      </c>
      <c r="I56" s="195"/>
      <c r="J56" s="49"/>
      <c r="K56" s="49"/>
      <c r="L56" s="49"/>
      <c r="M56" s="49"/>
      <c r="N56" s="49"/>
      <c r="O56" s="49">
        <f t="shared" si="3"/>
        <v>0</v>
      </c>
      <c r="P56" s="194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209"/>
      <c r="BT56" s="209"/>
      <c r="BU56" s="209"/>
      <c r="BV56" s="209"/>
      <c r="BW56" s="209"/>
      <c r="BX56" s="209"/>
      <c r="BY56" s="209"/>
      <c r="BZ56" s="209"/>
      <c r="CA56" s="209"/>
      <c r="CB56" s="209"/>
      <c r="CC56" s="209"/>
      <c r="CD56" s="209"/>
      <c r="CE56" s="209"/>
      <c r="CF56" s="209"/>
      <c r="CG56" s="209"/>
      <c r="CH56" s="209"/>
      <c r="CI56" s="209"/>
      <c r="CJ56" s="209"/>
      <c r="CK56" s="209"/>
      <c r="CL56" s="209"/>
      <c r="CM56" s="209"/>
      <c r="CN56" s="209"/>
      <c r="CO56" s="209"/>
      <c r="CP56" s="209"/>
      <c r="CQ56" s="209"/>
      <c r="CR56" s="209"/>
      <c r="CS56" s="209"/>
      <c r="CT56" s="209"/>
      <c r="CU56" s="209"/>
      <c r="CV56" s="209"/>
      <c r="CW56" s="209"/>
      <c r="CX56" s="209"/>
      <c r="CY56" s="209"/>
      <c r="CZ56" s="209"/>
      <c r="DA56" s="209"/>
      <c r="DB56" s="209"/>
      <c r="DC56" s="209"/>
      <c r="DD56" s="209"/>
      <c r="DE56" s="209"/>
      <c r="DF56" s="209"/>
      <c r="DG56" s="209"/>
      <c r="DH56" s="209"/>
      <c r="DI56" s="209"/>
      <c r="DJ56" s="209"/>
      <c r="DK56" s="209"/>
      <c r="DL56" s="209"/>
      <c r="DM56" s="209"/>
      <c r="DN56" s="209"/>
      <c r="DO56" s="209"/>
      <c r="DP56" s="209"/>
      <c r="DQ56" s="209"/>
      <c r="DR56" s="209"/>
      <c r="DS56" s="209"/>
      <c r="DT56" s="209"/>
      <c r="DU56" s="209"/>
      <c r="DV56" s="209"/>
      <c r="DW56" s="209"/>
      <c r="DX56" s="209"/>
      <c r="DY56" s="209"/>
      <c r="DZ56" s="209"/>
      <c r="EA56" s="209"/>
      <c r="EB56" s="209"/>
      <c r="EC56" s="209"/>
      <c r="ED56" s="209"/>
      <c r="EE56" s="209"/>
      <c r="EF56" s="209"/>
      <c r="EG56" s="209"/>
      <c r="EH56" s="209"/>
      <c r="EI56" s="209"/>
      <c r="EJ56" s="209"/>
      <c r="EK56" s="209"/>
      <c r="EL56" s="209"/>
      <c r="EM56" s="209"/>
      <c r="EN56" s="209"/>
      <c r="EO56" s="209"/>
      <c r="EP56" s="209"/>
      <c r="EQ56" s="209"/>
      <c r="ER56" s="209"/>
      <c r="ES56" s="209"/>
      <c r="ET56" s="209"/>
      <c r="EU56" s="209"/>
      <c r="EV56" s="209"/>
      <c r="EW56" s="209"/>
      <c r="EX56" s="209"/>
      <c r="EY56" s="209"/>
      <c r="EZ56" s="209"/>
      <c r="FA56" s="209"/>
      <c r="FB56" s="209"/>
      <c r="FC56" s="209"/>
      <c r="FD56" s="209"/>
      <c r="FE56" s="209"/>
      <c r="FF56" s="209"/>
      <c r="FG56" s="209"/>
      <c r="FH56" s="209"/>
      <c r="FI56" s="209"/>
      <c r="FJ56" s="209"/>
      <c r="FK56" s="209"/>
      <c r="FL56" s="209"/>
      <c r="FM56" s="209"/>
      <c r="FN56" s="209"/>
      <c r="FO56" s="209"/>
      <c r="FP56" s="209"/>
      <c r="FQ56" s="209"/>
      <c r="FR56" s="209"/>
      <c r="FS56" s="209"/>
      <c r="FT56" s="209"/>
      <c r="FU56" s="209"/>
      <c r="FV56" s="209"/>
      <c r="FW56" s="209"/>
      <c r="FX56" s="209"/>
      <c r="FY56" s="209"/>
      <c r="FZ56" s="209"/>
      <c r="GA56" s="209"/>
      <c r="GB56" s="209"/>
      <c r="GC56" s="209"/>
      <c r="GD56" s="209"/>
      <c r="GE56" s="209"/>
      <c r="GF56" s="209"/>
      <c r="GG56" s="209"/>
      <c r="GH56" s="209"/>
      <c r="GI56" s="209"/>
      <c r="GJ56" s="209"/>
      <c r="GK56" s="209"/>
      <c r="GL56" s="209"/>
      <c r="GM56" s="209"/>
      <c r="GN56" s="209"/>
      <c r="GO56" s="209"/>
      <c r="GP56" s="209"/>
      <c r="GQ56" s="209"/>
      <c r="GR56" s="209"/>
      <c r="GS56" s="209"/>
      <c r="GT56" s="209"/>
      <c r="GU56" s="209"/>
      <c r="GV56" s="209"/>
      <c r="GW56" s="209"/>
      <c r="GX56" s="209"/>
      <c r="GY56" s="209"/>
      <c r="GZ56" s="209"/>
      <c r="HA56" s="209"/>
      <c r="HB56" s="209"/>
      <c r="HC56" s="209"/>
      <c r="HD56" s="209"/>
      <c r="HE56" s="209"/>
      <c r="HF56" s="209"/>
      <c r="HG56" s="209"/>
      <c r="HH56" s="209"/>
      <c r="HI56" s="209"/>
      <c r="HJ56" s="210"/>
      <c r="HK56" s="210"/>
      <c r="HL56" s="210"/>
      <c r="HM56" s="210"/>
      <c r="HN56" s="210"/>
      <c r="HO56" s="210"/>
      <c r="HP56" s="210"/>
      <c r="HQ56" s="210"/>
      <c r="HR56" s="210"/>
      <c r="HS56" s="210"/>
      <c r="HT56" s="210"/>
      <c r="HU56" s="210"/>
      <c r="HV56" s="210"/>
      <c r="HW56" s="210"/>
      <c r="HX56" s="210"/>
      <c r="HY56" s="210"/>
      <c r="HZ56" s="210"/>
      <c r="IA56" s="210"/>
      <c r="IB56" s="210"/>
      <c r="IC56" s="210"/>
      <c r="ID56" s="210"/>
      <c r="IE56" s="210"/>
      <c r="IF56" s="210"/>
      <c r="IG56" s="210"/>
      <c r="IH56" s="210"/>
      <c r="II56" s="210"/>
      <c r="IJ56" s="210"/>
    </row>
    <row r="57" ht="21" customHeight="1" spans="1:16">
      <c r="A57" s="164" t="s">
        <v>99</v>
      </c>
      <c r="B57" s="49">
        <f>B7+B33</f>
        <v>715563</v>
      </c>
      <c r="C57" s="49">
        <f>C7+C33</f>
        <v>613269.12</v>
      </c>
      <c r="D57" s="49">
        <f>D7+D33</f>
        <v>650735.12</v>
      </c>
      <c r="E57" s="49">
        <f>E7+E33</f>
        <v>-15815.21</v>
      </c>
      <c r="F57" s="49">
        <f>F7+F33</f>
        <v>634919.91</v>
      </c>
      <c r="G57" s="49">
        <f t="shared" si="1"/>
        <v>-80643.09</v>
      </c>
      <c r="H57" s="192">
        <f t="shared" si="7"/>
        <v>-0.1126987980094</v>
      </c>
      <c r="I57" s="164" t="s">
        <v>100</v>
      </c>
      <c r="J57" s="49">
        <f>J7+J32+J33</f>
        <v>715563</v>
      </c>
      <c r="K57" s="49">
        <f>K7+K32+K33</f>
        <v>613269</v>
      </c>
      <c r="L57" s="49">
        <f>L7+L32+L33</f>
        <v>650735</v>
      </c>
      <c r="M57" s="49">
        <f>M7+M32+M33</f>
        <v>-15814.546668</v>
      </c>
      <c r="N57" s="49">
        <f>N7+N32+N33</f>
        <v>634920.453332</v>
      </c>
      <c r="O57" s="49">
        <f t="shared" si="3"/>
        <v>-80642.5466680001</v>
      </c>
      <c r="P57" s="192">
        <f t="shared" si="4"/>
        <v>-0.112698038702392</v>
      </c>
    </row>
    <row r="61" ht="35.1" customHeight="1"/>
  </sheetData>
  <sheetProtection formatCells="0" insertHyperlinks="0" autoFilter="0"/>
  <autoFilter ref="A6:IX59">
    <extLst/>
  </autoFilter>
  <mergeCells count="18">
    <mergeCell ref="A2:P2"/>
    <mergeCell ref="O3:P3"/>
    <mergeCell ref="A4:H4"/>
    <mergeCell ref="I4:P4"/>
    <mergeCell ref="G5:H5"/>
    <mergeCell ref="O5:P5"/>
    <mergeCell ref="A5:A6"/>
    <mergeCell ref="B5:B6"/>
    <mergeCell ref="C5:C6"/>
    <mergeCell ref="D5:D6"/>
    <mergeCell ref="E5:E6"/>
    <mergeCell ref="F5:F6"/>
    <mergeCell ref="I5:I6"/>
    <mergeCell ref="J5:J6"/>
    <mergeCell ref="K5:K6"/>
    <mergeCell ref="L5:L6"/>
    <mergeCell ref="M5:M6"/>
    <mergeCell ref="N5:N6"/>
  </mergeCells>
  <printOptions horizontalCentered="1"/>
  <pageMargins left="0.389583333333333" right="0.200694444444444" top="0.314583333333333" bottom="0.432638888888889" header="0.220138888888889" footer="0.275"/>
  <pageSetup paperSize="9" scale="95" fitToHeight="0" orientation="portrait" useFirstPageNumber="1" horizontalDpi="600"/>
  <headerFooter alignWithMargins="0" scaleWithDoc="0">
    <oddFooter>&amp;C第 &amp;P 页，共 78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48"/>
  <sheetViews>
    <sheetView zoomScale="110" zoomScaleNormal="110" workbookViewId="0">
      <pane ySplit="4" topLeftCell="A1277" activePane="bottomLeft" state="frozen"/>
      <selection/>
      <selection pane="bottomLeft" activeCell="A1324" sqref="A1324"/>
    </sheetView>
  </sheetViews>
  <sheetFormatPr defaultColWidth="9" defaultRowHeight="18" outlineLevelCol="4"/>
  <cols>
    <col min="1" max="1" width="37.5" style="153" customWidth="1"/>
    <col min="2" max="2" width="10.5" style="154" customWidth="1"/>
    <col min="3" max="3" width="11.5" style="154" customWidth="1"/>
    <col min="4" max="4" width="10.625" style="154" customWidth="1"/>
    <col min="5" max="5" width="12.875" style="155" customWidth="1"/>
    <col min="6" max="16384" width="9" style="151"/>
  </cols>
  <sheetData>
    <row r="1" s="151" customFormat="1" spans="1:5">
      <c r="A1" s="156" t="s">
        <v>101</v>
      </c>
      <c r="B1" s="154"/>
      <c r="C1" s="154"/>
      <c r="D1" s="154"/>
      <c r="E1" s="157"/>
    </row>
    <row r="2" s="151" customFormat="1" ht="29.1" customHeight="1" spans="1:5">
      <c r="A2" s="158" t="s">
        <v>102</v>
      </c>
      <c r="B2" s="159"/>
      <c r="C2" s="159"/>
      <c r="D2" s="159"/>
      <c r="E2" s="160"/>
    </row>
    <row r="3" s="151" customFormat="1" customHeight="1" spans="1:5">
      <c r="A3" s="161"/>
      <c r="B3" s="154"/>
      <c r="C3" s="154"/>
      <c r="D3" s="162" t="s">
        <v>2</v>
      </c>
      <c r="E3" s="163"/>
    </row>
    <row r="4" s="152" customFormat="1" ht="30.95" customHeight="1" spans="1:5">
      <c r="A4" s="164" t="s">
        <v>5</v>
      </c>
      <c r="B4" s="45" t="s">
        <v>6</v>
      </c>
      <c r="C4" s="45" t="s">
        <v>7</v>
      </c>
      <c r="D4" s="45" t="s">
        <v>103</v>
      </c>
      <c r="E4" s="45" t="s">
        <v>104</v>
      </c>
    </row>
    <row r="5" s="151" customFormat="1" ht="15.95" customHeight="1" spans="1:5">
      <c r="A5" s="61" t="s">
        <v>14</v>
      </c>
      <c r="B5" s="49">
        <f>B6+B287+B306+B396+B448+B504+B561+B690+B771+B842+B865+B977+B1030+B1094+B1154+B1199+B1220+B1265+B1322+B1325+B1333</f>
        <v>513947</v>
      </c>
      <c r="C5" s="49">
        <f>C6+C247+C287+C306+C396+C448+C504+C561+C690+C771+C842+C865+C977+C1030+C1094+C1114+C1144+C1154+C1199+C1220+C1265+C1322+C1325+C1333</f>
        <v>516856</v>
      </c>
      <c r="D5" s="49">
        <f>D6+D247+D287+D306+D396+D448+D504+D561+D690+D771+D842+D865+D977+D1030+D1094+D1114+D1144+D1154+D1199+D1220+D1265+D1322+D1325+D1333</f>
        <v>535797</v>
      </c>
      <c r="E5" s="165">
        <f t="shared" ref="E5:E8" si="0">D5/B5</f>
        <v>1.04251411137724</v>
      </c>
    </row>
    <row r="6" s="151" customFormat="1" ht="15.95" customHeight="1" spans="1:5">
      <c r="A6" s="166" t="s">
        <v>105</v>
      </c>
      <c r="B6" s="167">
        <v>36521</v>
      </c>
      <c r="C6" s="168">
        <f>C7+C19+C28+C38+C49+C60+C71+C79+C88+C101+C110+C121+C133+C140+C148+C154+C161+C168+C175+C182+C189+C203+C216+C231+C238+C244</f>
        <v>28797</v>
      </c>
      <c r="D6" s="168">
        <f>D7+D19+D28+D38+D49+D60+D71+D79+D88+D101+D110+D121+D133+D140+D148+D154+D161+D168+D175+D182+D189+D203+D216+D231+D238+D244</f>
        <v>28236</v>
      </c>
      <c r="E6" s="165">
        <f t="shared" si="0"/>
        <v>0.773144218394896</v>
      </c>
    </row>
    <row r="7" s="151" customFormat="1" ht="15.95" customHeight="1" spans="1:5">
      <c r="A7" s="169" t="s">
        <v>106</v>
      </c>
      <c r="B7" s="167">
        <v>526</v>
      </c>
      <c r="C7" s="167">
        <f>SUM(C8:C18)</f>
        <v>391</v>
      </c>
      <c r="D7" s="167">
        <f>SUM(D8:D18)</f>
        <v>390</v>
      </c>
      <c r="E7" s="165">
        <f t="shared" si="0"/>
        <v>0.741444866920152</v>
      </c>
    </row>
    <row r="8" s="151" customFormat="1" ht="15.95" customHeight="1" spans="1:5">
      <c r="A8" s="170" t="s">
        <v>107</v>
      </c>
      <c r="B8" s="171">
        <v>443</v>
      </c>
      <c r="C8" s="171">
        <v>377</v>
      </c>
      <c r="D8" s="171">
        <f>377-1</f>
        <v>376</v>
      </c>
      <c r="E8" s="172">
        <f t="shared" si="0"/>
        <v>0.848758465011287</v>
      </c>
    </row>
    <row r="9" s="151" customFormat="1" ht="15.95" hidden="1" customHeight="1" spans="1:5">
      <c r="A9" s="170" t="s">
        <v>108</v>
      </c>
      <c r="B9" s="171"/>
      <c r="C9" s="171"/>
      <c r="D9" s="171"/>
      <c r="E9" s="172"/>
    </row>
    <row r="10" s="151" customFormat="1" ht="15.95" hidden="1" customHeight="1" spans="1:5">
      <c r="A10" s="170" t="s">
        <v>109</v>
      </c>
      <c r="B10" s="171"/>
      <c r="C10" s="171"/>
      <c r="D10" s="171"/>
      <c r="E10" s="172"/>
    </row>
    <row r="11" s="151" customFormat="1" ht="15.95" customHeight="1" spans="1:5">
      <c r="A11" s="170" t="s">
        <v>110</v>
      </c>
      <c r="B11" s="171">
        <v>31</v>
      </c>
      <c r="C11" s="171"/>
      <c r="D11" s="171"/>
      <c r="E11" s="172">
        <f>D11/B11</f>
        <v>0</v>
      </c>
    </row>
    <row r="12" s="151" customFormat="1" ht="15.95" hidden="1" customHeight="1" spans="1:5">
      <c r="A12" s="170" t="s">
        <v>111</v>
      </c>
      <c r="B12" s="171"/>
      <c r="C12" s="171"/>
      <c r="D12" s="171"/>
      <c r="E12" s="172"/>
    </row>
    <row r="13" s="151" customFormat="1" ht="15.95" hidden="1" customHeight="1" spans="1:5">
      <c r="A13" s="173" t="s">
        <v>112</v>
      </c>
      <c r="B13" s="171"/>
      <c r="C13" s="171"/>
      <c r="D13" s="171"/>
      <c r="E13" s="172"/>
    </row>
    <row r="14" s="151" customFormat="1" ht="15.95" hidden="1" customHeight="1" spans="1:5">
      <c r="A14" s="173" t="s">
        <v>113</v>
      </c>
      <c r="B14" s="171"/>
      <c r="C14" s="171"/>
      <c r="D14" s="171"/>
      <c r="E14" s="172"/>
    </row>
    <row r="15" s="151" customFormat="1" ht="15.95" customHeight="1" spans="1:5">
      <c r="A15" s="173" t="s">
        <v>114</v>
      </c>
      <c r="B15" s="171">
        <v>21</v>
      </c>
      <c r="C15" s="171">
        <v>14</v>
      </c>
      <c r="D15" s="171">
        <v>14</v>
      </c>
      <c r="E15" s="172">
        <f t="shared" ref="E15:E20" si="1">D15/B15</f>
        <v>0.666666666666667</v>
      </c>
    </row>
    <row r="16" s="151" customFormat="1" ht="15.95" hidden="1" customHeight="1" spans="1:5">
      <c r="A16" s="173" t="s">
        <v>115</v>
      </c>
      <c r="B16" s="171"/>
      <c r="C16" s="171"/>
      <c r="D16" s="171"/>
      <c r="E16" s="172"/>
    </row>
    <row r="17" s="151" customFormat="1" ht="15.95" hidden="1" customHeight="1" spans="1:5">
      <c r="A17" s="173" t="s">
        <v>116</v>
      </c>
      <c r="B17" s="171"/>
      <c r="C17" s="171"/>
      <c r="D17" s="171"/>
      <c r="E17" s="172"/>
    </row>
    <row r="18" s="151" customFormat="1" ht="15.95" customHeight="1" spans="1:5">
      <c r="A18" s="173" t="s">
        <v>117</v>
      </c>
      <c r="B18" s="171">
        <v>31</v>
      </c>
      <c r="C18" s="171"/>
      <c r="D18" s="171"/>
      <c r="E18" s="172">
        <f t="shared" si="1"/>
        <v>0</v>
      </c>
    </row>
    <row r="19" s="151" customFormat="1" ht="15.95" customHeight="1" spans="1:5">
      <c r="A19" s="169" t="s">
        <v>118</v>
      </c>
      <c r="B19" s="167">
        <v>461</v>
      </c>
      <c r="C19" s="167">
        <v>381</v>
      </c>
      <c r="D19" s="167">
        <v>381</v>
      </c>
      <c r="E19" s="165">
        <f t="shared" si="1"/>
        <v>0.82646420824295</v>
      </c>
    </row>
    <row r="20" s="151" customFormat="1" ht="15.95" customHeight="1" spans="1:5">
      <c r="A20" s="170" t="s">
        <v>107</v>
      </c>
      <c r="B20" s="171">
        <v>386</v>
      </c>
      <c r="C20" s="171">
        <v>381</v>
      </c>
      <c r="D20" s="171">
        <v>381</v>
      </c>
      <c r="E20" s="172">
        <f t="shared" si="1"/>
        <v>0.987046632124352</v>
      </c>
    </row>
    <row r="21" s="151" customFormat="1" ht="15.95" hidden="1" customHeight="1" spans="1:5">
      <c r="A21" s="170" t="s">
        <v>108</v>
      </c>
      <c r="B21" s="171"/>
      <c r="C21" s="171"/>
      <c r="D21" s="171"/>
      <c r="E21" s="172"/>
    </row>
    <row r="22" s="151" customFormat="1" ht="15.95" hidden="1" customHeight="1" spans="1:5">
      <c r="A22" s="170" t="s">
        <v>109</v>
      </c>
      <c r="B22" s="171"/>
      <c r="C22" s="171"/>
      <c r="D22" s="171"/>
      <c r="E22" s="172"/>
    </row>
    <row r="23" s="151" customFormat="1" ht="15.95" customHeight="1" spans="1:5">
      <c r="A23" s="170" t="s">
        <v>119</v>
      </c>
      <c r="B23" s="171">
        <v>19</v>
      </c>
      <c r="C23" s="171"/>
      <c r="D23" s="171"/>
      <c r="E23" s="172">
        <f t="shared" ref="E23:E29" si="2">D23/B23</f>
        <v>0</v>
      </c>
    </row>
    <row r="24" s="151" customFormat="1" ht="15.95" hidden="1" customHeight="1" spans="1:5">
      <c r="A24" s="170" t="s">
        <v>120</v>
      </c>
      <c r="B24" s="171"/>
      <c r="C24" s="171"/>
      <c r="D24" s="171"/>
      <c r="E24" s="172"/>
    </row>
    <row r="25" s="151" customFormat="1" ht="15.95" hidden="1" customHeight="1" spans="1:5">
      <c r="A25" s="170" t="s">
        <v>121</v>
      </c>
      <c r="B25" s="171"/>
      <c r="C25" s="171"/>
      <c r="D25" s="171"/>
      <c r="E25" s="172"/>
    </row>
    <row r="26" s="151" customFormat="1" ht="15.95" hidden="1" customHeight="1" spans="1:5">
      <c r="A26" s="170" t="s">
        <v>116</v>
      </c>
      <c r="B26" s="171"/>
      <c r="C26" s="171"/>
      <c r="D26" s="171"/>
      <c r="E26" s="172"/>
    </row>
    <row r="27" s="151" customFormat="1" customHeight="1" spans="1:5">
      <c r="A27" s="170" t="s">
        <v>122</v>
      </c>
      <c r="B27" s="171">
        <v>56</v>
      </c>
      <c r="C27" s="171"/>
      <c r="D27" s="171"/>
      <c r="E27" s="172">
        <f t="shared" si="2"/>
        <v>0</v>
      </c>
    </row>
    <row r="28" s="151" customFormat="1" customHeight="1" spans="1:5">
      <c r="A28" s="169" t="s">
        <v>123</v>
      </c>
      <c r="B28" s="167">
        <v>17748</v>
      </c>
      <c r="C28" s="167">
        <v>14031</v>
      </c>
      <c r="D28" s="167">
        <f>SUM(D29:D37)</f>
        <v>13713</v>
      </c>
      <c r="E28" s="165">
        <f t="shared" si="2"/>
        <v>0.772650439486139</v>
      </c>
    </row>
    <row r="29" s="151" customFormat="1" ht="15.95" customHeight="1" spans="1:5">
      <c r="A29" s="170" t="s">
        <v>107</v>
      </c>
      <c r="B29" s="171">
        <v>10422</v>
      </c>
      <c r="C29" s="171">
        <v>11515</v>
      </c>
      <c r="D29" s="171">
        <f>11515-312</f>
        <v>11203</v>
      </c>
      <c r="E29" s="172">
        <f t="shared" si="2"/>
        <v>1.07493763193245</v>
      </c>
    </row>
    <row r="30" s="151" customFormat="1" ht="15.95" hidden="1" customHeight="1" spans="1:5">
      <c r="A30" s="170" t="s">
        <v>108</v>
      </c>
      <c r="B30" s="171"/>
      <c r="C30" s="171"/>
      <c r="D30" s="171"/>
      <c r="E30" s="172"/>
    </row>
    <row r="31" s="151" customFormat="1" ht="15.95" customHeight="1" spans="1:5">
      <c r="A31" s="170" t="s">
        <v>109</v>
      </c>
      <c r="B31" s="171">
        <v>457</v>
      </c>
      <c r="C31" s="171"/>
      <c r="D31" s="171"/>
      <c r="E31" s="172">
        <f>D31/B31</f>
        <v>0</v>
      </c>
    </row>
    <row r="32" s="151" customFormat="1" ht="15.95" hidden="1" customHeight="1" spans="1:5">
      <c r="A32" s="170" t="s">
        <v>124</v>
      </c>
      <c r="B32" s="171"/>
      <c r="C32" s="171"/>
      <c r="D32" s="171"/>
      <c r="E32" s="172"/>
    </row>
    <row r="33" s="151" customFormat="1" ht="15.95" hidden="1" customHeight="1" spans="1:5">
      <c r="A33" s="170" t="s">
        <v>125</v>
      </c>
      <c r="B33" s="171"/>
      <c r="C33" s="171"/>
      <c r="D33" s="171"/>
      <c r="E33" s="172"/>
    </row>
    <row r="34" s="151" customFormat="1" ht="15.95" hidden="1" customHeight="1" spans="1:5">
      <c r="A34" s="170" t="s">
        <v>126</v>
      </c>
      <c r="B34" s="171"/>
      <c r="C34" s="171"/>
      <c r="D34" s="171"/>
      <c r="E34" s="172"/>
    </row>
    <row r="35" s="151" customFormat="1" ht="15.95" hidden="1" customHeight="1" spans="1:5">
      <c r="A35" s="170" t="s">
        <v>127</v>
      </c>
      <c r="B35" s="171"/>
      <c r="C35" s="171"/>
      <c r="D35" s="171"/>
      <c r="E35" s="172"/>
    </row>
    <row r="36" s="151" customFormat="1" ht="15.95" customHeight="1" spans="1:5">
      <c r="A36" s="170" t="s">
        <v>116</v>
      </c>
      <c r="B36" s="171">
        <v>292</v>
      </c>
      <c r="C36" s="171">
        <v>522</v>
      </c>
      <c r="D36" s="171">
        <f>522-6</f>
        <v>516</v>
      </c>
      <c r="E36" s="172">
        <f t="shared" ref="E36:E39" si="3">D36/B36</f>
        <v>1.76712328767123</v>
      </c>
    </row>
    <row r="37" s="151" customFormat="1" ht="24" customHeight="1" spans="1:5">
      <c r="A37" s="170" t="s">
        <v>128</v>
      </c>
      <c r="B37" s="171">
        <v>4561</v>
      </c>
      <c r="C37" s="171">
        <v>1994</v>
      </c>
      <c r="D37" s="171">
        <v>1994</v>
      </c>
      <c r="E37" s="172">
        <f t="shared" si="3"/>
        <v>0.437184827888621</v>
      </c>
    </row>
    <row r="38" s="151" customFormat="1" ht="15.95" customHeight="1" spans="1:5">
      <c r="A38" s="169" t="s">
        <v>129</v>
      </c>
      <c r="B38" s="167">
        <v>782</v>
      </c>
      <c r="C38" s="167">
        <v>398</v>
      </c>
      <c r="D38" s="167">
        <f>SUM(D39:D47)</f>
        <v>388</v>
      </c>
      <c r="E38" s="165">
        <f t="shared" si="3"/>
        <v>0.49616368286445</v>
      </c>
    </row>
    <row r="39" s="151" customFormat="1" ht="15.95" customHeight="1" spans="1:5">
      <c r="A39" s="170" t="s">
        <v>107</v>
      </c>
      <c r="B39" s="171">
        <v>293</v>
      </c>
      <c r="C39" s="171">
        <v>318</v>
      </c>
      <c r="D39" s="171">
        <v>318</v>
      </c>
      <c r="E39" s="172">
        <f t="shared" si="3"/>
        <v>1.08532423208191</v>
      </c>
    </row>
    <row r="40" s="151" customFormat="1" ht="15.95" hidden="1" customHeight="1" spans="1:5">
      <c r="A40" s="170" t="s">
        <v>108</v>
      </c>
      <c r="B40" s="171"/>
      <c r="C40" s="171"/>
      <c r="D40" s="171"/>
      <c r="E40" s="172"/>
    </row>
    <row r="41" s="151" customFormat="1" ht="15.95" hidden="1" customHeight="1" spans="1:5">
      <c r="A41" s="170" t="s">
        <v>109</v>
      </c>
      <c r="B41" s="171"/>
      <c r="C41" s="171"/>
      <c r="D41" s="171"/>
      <c r="E41" s="172"/>
    </row>
    <row r="42" s="151" customFormat="1" ht="15.95" hidden="1" customHeight="1" spans="1:5">
      <c r="A42" s="170" t="s">
        <v>130</v>
      </c>
      <c r="B42" s="171"/>
      <c r="C42" s="171"/>
      <c r="D42" s="171"/>
      <c r="E42" s="172"/>
    </row>
    <row r="43" s="151" customFormat="1" ht="15.95" hidden="1" customHeight="1" spans="1:5">
      <c r="A43" s="170" t="s">
        <v>131</v>
      </c>
      <c r="B43" s="171"/>
      <c r="C43" s="171"/>
      <c r="D43" s="171"/>
      <c r="E43" s="172"/>
    </row>
    <row r="44" s="151" customFormat="1" ht="15.95" hidden="1" customHeight="1" spans="1:5">
      <c r="A44" s="170" t="s">
        <v>132</v>
      </c>
      <c r="B44" s="171"/>
      <c r="C44" s="171"/>
      <c r="D44" s="171"/>
      <c r="E44" s="172"/>
    </row>
    <row r="45" s="151" customFormat="1" ht="15.95" hidden="1" customHeight="1" spans="1:5">
      <c r="A45" s="170" t="s">
        <v>133</v>
      </c>
      <c r="B45" s="171"/>
      <c r="C45" s="171"/>
      <c r="D45" s="171"/>
      <c r="E45" s="172"/>
    </row>
    <row r="46" s="151" customFormat="1" ht="15.95" hidden="1" customHeight="1" spans="1:5">
      <c r="A46" s="170" t="s">
        <v>134</v>
      </c>
      <c r="B46" s="171"/>
      <c r="C46" s="171"/>
      <c r="D46" s="171"/>
      <c r="E46" s="172"/>
    </row>
    <row r="47" s="151" customFormat="1" ht="15.95" customHeight="1" spans="1:5">
      <c r="A47" s="170" t="s">
        <v>116</v>
      </c>
      <c r="B47" s="171">
        <v>56</v>
      </c>
      <c r="C47" s="171">
        <v>80</v>
      </c>
      <c r="D47" s="171">
        <f>80-10</f>
        <v>70</v>
      </c>
      <c r="E47" s="172">
        <f t="shared" ref="E47:E50" si="4">D47/B47</f>
        <v>1.25</v>
      </c>
    </row>
    <row r="48" s="151" customFormat="1" ht="15.95" customHeight="1" spans="1:5">
      <c r="A48" s="170" t="s">
        <v>135</v>
      </c>
      <c r="B48" s="171">
        <v>433</v>
      </c>
      <c r="C48" s="171"/>
      <c r="D48" s="171"/>
      <c r="E48" s="172">
        <f t="shared" si="4"/>
        <v>0</v>
      </c>
    </row>
    <row r="49" s="151" customFormat="1" ht="15.95" customHeight="1" spans="1:5">
      <c r="A49" s="169" t="s">
        <v>136</v>
      </c>
      <c r="B49" s="167">
        <v>529</v>
      </c>
      <c r="C49" s="167">
        <v>435</v>
      </c>
      <c r="D49" s="167">
        <f>SUM(D50:D59)</f>
        <v>425</v>
      </c>
      <c r="E49" s="165">
        <f t="shared" si="4"/>
        <v>0.803402646502836</v>
      </c>
    </row>
    <row r="50" s="151" customFormat="1" ht="15.95" customHeight="1" spans="1:5">
      <c r="A50" s="170" t="s">
        <v>107</v>
      </c>
      <c r="B50" s="171">
        <v>259</v>
      </c>
      <c r="C50" s="171">
        <v>282</v>
      </c>
      <c r="D50" s="171">
        <f>282-10</f>
        <v>272</v>
      </c>
      <c r="E50" s="172">
        <f t="shared" si="4"/>
        <v>1.05019305019305</v>
      </c>
    </row>
    <row r="51" s="151" customFormat="1" ht="15.95" hidden="1" customHeight="1" spans="1:5">
      <c r="A51" s="173" t="s">
        <v>108</v>
      </c>
      <c r="B51" s="171"/>
      <c r="C51" s="171"/>
      <c r="D51" s="171"/>
      <c r="E51" s="172"/>
    </row>
    <row r="52" s="151" customFormat="1" ht="15.95" hidden="1" customHeight="1" spans="1:5">
      <c r="A52" s="170" t="s">
        <v>109</v>
      </c>
      <c r="B52" s="171"/>
      <c r="C52" s="171"/>
      <c r="D52" s="171"/>
      <c r="E52" s="172"/>
    </row>
    <row r="53" s="151" customFormat="1" ht="15.95" hidden="1" customHeight="1" spans="1:5">
      <c r="A53" s="170" t="s">
        <v>137</v>
      </c>
      <c r="B53" s="171"/>
      <c r="C53" s="171"/>
      <c r="D53" s="171"/>
      <c r="E53" s="172"/>
    </row>
    <row r="54" s="151" customFormat="1" ht="15.95" hidden="1" customHeight="1" spans="1:5">
      <c r="A54" s="170" t="s">
        <v>138</v>
      </c>
      <c r="B54" s="171"/>
      <c r="C54" s="171"/>
      <c r="D54" s="171"/>
      <c r="E54" s="172"/>
    </row>
    <row r="55" s="151" customFormat="1" ht="15.95" customHeight="1" spans="1:5">
      <c r="A55" s="170" t="s">
        <v>139</v>
      </c>
      <c r="B55" s="171">
        <v>12</v>
      </c>
      <c r="C55" s="171"/>
      <c r="D55" s="171"/>
      <c r="E55" s="172">
        <f t="shared" ref="E55:E57" si="5">D55/B55</f>
        <v>0</v>
      </c>
    </row>
    <row r="56" s="151" customFormat="1" ht="15.95" customHeight="1" spans="1:5">
      <c r="A56" s="170" t="s">
        <v>140</v>
      </c>
      <c r="B56" s="171">
        <v>30</v>
      </c>
      <c r="C56" s="171">
        <v>80</v>
      </c>
      <c r="D56" s="171">
        <v>80</v>
      </c>
      <c r="E56" s="172">
        <f t="shared" si="5"/>
        <v>2.66666666666667</v>
      </c>
    </row>
    <row r="57" s="151" customFormat="1" ht="15.95" customHeight="1" spans="1:5">
      <c r="A57" s="170" t="s">
        <v>141</v>
      </c>
      <c r="B57" s="171">
        <v>38</v>
      </c>
      <c r="C57" s="171">
        <v>38</v>
      </c>
      <c r="D57" s="171">
        <v>38</v>
      </c>
      <c r="E57" s="172">
        <f t="shared" si="5"/>
        <v>1</v>
      </c>
    </row>
    <row r="58" s="151" customFormat="1" ht="15.95" hidden="1" customHeight="1" spans="1:5">
      <c r="A58" s="170" t="s">
        <v>116</v>
      </c>
      <c r="B58" s="171"/>
      <c r="C58" s="171"/>
      <c r="D58" s="171"/>
      <c r="E58" s="172"/>
    </row>
    <row r="59" s="151" customFormat="1" ht="15.95" customHeight="1" spans="1:5">
      <c r="A59" s="170" t="s">
        <v>142</v>
      </c>
      <c r="B59" s="171">
        <v>190</v>
      </c>
      <c r="C59" s="171">
        <v>35</v>
      </c>
      <c r="D59" s="171">
        <v>35</v>
      </c>
      <c r="E59" s="172">
        <f t="shared" ref="E59:E61" si="6">D59/B59</f>
        <v>0.184210526315789</v>
      </c>
    </row>
    <row r="60" s="151" customFormat="1" ht="15.95" customHeight="1" spans="1:5">
      <c r="A60" s="169" t="s">
        <v>143</v>
      </c>
      <c r="B60" s="167">
        <v>3497</v>
      </c>
      <c r="C60" s="167">
        <v>3054</v>
      </c>
      <c r="D60" s="167">
        <f>SUM(D61:D69)</f>
        <v>2972</v>
      </c>
      <c r="E60" s="165">
        <f t="shared" si="6"/>
        <v>0.849871318272805</v>
      </c>
    </row>
    <row r="61" s="151" customFormat="1" ht="15.95" customHeight="1" spans="1:5">
      <c r="A61" s="170" t="s">
        <v>107</v>
      </c>
      <c r="B61" s="171">
        <v>2509</v>
      </c>
      <c r="C61" s="171">
        <v>2900</v>
      </c>
      <c r="D61" s="171">
        <f>2900-79</f>
        <v>2821</v>
      </c>
      <c r="E61" s="172">
        <f t="shared" si="6"/>
        <v>1.12435233160622</v>
      </c>
    </row>
    <row r="62" s="151" customFormat="1" ht="15.95" hidden="1" customHeight="1" spans="1:5">
      <c r="A62" s="173" t="s">
        <v>108</v>
      </c>
      <c r="B62" s="171">
        <v>0</v>
      </c>
      <c r="C62" s="171"/>
      <c r="D62" s="171"/>
      <c r="E62" s="172"/>
    </row>
    <row r="63" s="151" customFormat="1" ht="15.95" hidden="1" customHeight="1" spans="1:5">
      <c r="A63" s="173" t="s">
        <v>109</v>
      </c>
      <c r="B63" s="171">
        <v>0</v>
      </c>
      <c r="C63" s="171"/>
      <c r="D63" s="171"/>
      <c r="E63" s="172"/>
    </row>
    <row r="64" s="151" customFormat="1" ht="15.95" hidden="1" customHeight="1" spans="1:5">
      <c r="A64" s="173" t="s">
        <v>144</v>
      </c>
      <c r="B64" s="171">
        <v>0</v>
      </c>
      <c r="C64" s="171"/>
      <c r="D64" s="171"/>
      <c r="E64" s="172"/>
    </row>
    <row r="65" s="151" customFormat="1" ht="15.95" customHeight="1" spans="1:5">
      <c r="A65" s="173" t="s">
        <v>145</v>
      </c>
      <c r="B65" s="171">
        <v>403</v>
      </c>
      <c r="C65" s="171"/>
      <c r="D65" s="171"/>
      <c r="E65" s="172">
        <f t="shared" ref="E65:E71" si="7">D65/B65</f>
        <v>0</v>
      </c>
    </row>
    <row r="66" s="151" customFormat="1" ht="15.95" hidden="1" customHeight="1" spans="1:5">
      <c r="A66" s="173" t="s">
        <v>146</v>
      </c>
      <c r="B66" s="171">
        <v>0</v>
      </c>
      <c r="C66" s="171"/>
      <c r="D66" s="171"/>
      <c r="E66" s="172"/>
    </row>
    <row r="67" s="151" customFormat="1" ht="15.95" hidden="1" customHeight="1" spans="1:5">
      <c r="A67" s="170" t="s">
        <v>147</v>
      </c>
      <c r="B67" s="171">
        <v>0</v>
      </c>
      <c r="C67" s="171"/>
      <c r="D67" s="171"/>
      <c r="E67" s="172"/>
    </row>
    <row r="68" s="151" customFormat="1" ht="15.95" hidden="1" customHeight="1" spans="1:5">
      <c r="A68" s="170" t="s">
        <v>148</v>
      </c>
      <c r="B68" s="171">
        <v>0</v>
      </c>
      <c r="C68" s="171"/>
      <c r="D68" s="171"/>
      <c r="E68" s="172"/>
    </row>
    <row r="69" s="151" customFormat="1" ht="15.95" customHeight="1" spans="1:5">
      <c r="A69" s="170" t="s">
        <v>116</v>
      </c>
      <c r="B69" s="171">
        <v>111</v>
      </c>
      <c r="C69" s="171">
        <v>154</v>
      </c>
      <c r="D69" s="171">
        <f>154-3</f>
        <v>151</v>
      </c>
      <c r="E69" s="172">
        <f t="shared" si="7"/>
        <v>1.36036036036036</v>
      </c>
    </row>
    <row r="70" s="151" customFormat="1" ht="15.95" customHeight="1" spans="1:5">
      <c r="A70" s="170" t="s">
        <v>149</v>
      </c>
      <c r="B70" s="171">
        <v>474</v>
      </c>
      <c r="C70" s="171"/>
      <c r="D70" s="171"/>
      <c r="E70" s="172">
        <f t="shared" si="7"/>
        <v>0</v>
      </c>
    </row>
    <row r="71" s="151" customFormat="1" ht="15.95" customHeight="1" spans="1:5">
      <c r="A71" s="169" t="s">
        <v>150</v>
      </c>
      <c r="B71" s="167">
        <v>472</v>
      </c>
      <c r="C71" s="167">
        <v>0</v>
      </c>
      <c r="D71" s="167">
        <v>0</v>
      </c>
      <c r="E71" s="165">
        <f t="shared" si="7"/>
        <v>0</v>
      </c>
    </row>
    <row r="72" s="151" customFormat="1" ht="15.95" hidden="1" customHeight="1" spans="1:5">
      <c r="A72" s="170" t="s">
        <v>107</v>
      </c>
      <c r="B72" s="171">
        <v>0</v>
      </c>
      <c r="C72" s="171"/>
      <c r="D72" s="171"/>
      <c r="E72" s="165"/>
    </row>
    <row r="73" s="151" customFormat="1" ht="15.95" hidden="1" customHeight="1" spans="1:5">
      <c r="A73" s="170" t="s">
        <v>108</v>
      </c>
      <c r="B73" s="171">
        <v>0</v>
      </c>
      <c r="C73" s="171"/>
      <c r="D73" s="171"/>
      <c r="E73" s="165"/>
    </row>
    <row r="74" s="151" customFormat="1" ht="15.95" hidden="1" customHeight="1" spans="1:5">
      <c r="A74" s="170" t="s">
        <v>109</v>
      </c>
      <c r="B74" s="171">
        <v>0</v>
      </c>
      <c r="C74" s="171"/>
      <c r="D74" s="171"/>
      <c r="E74" s="165"/>
    </row>
    <row r="75" s="151" customFormat="1" ht="15.95" hidden="1" customHeight="1" spans="1:5">
      <c r="A75" s="170" t="s">
        <v>147</v>
      </c>
      <c r="B75" s="171">
        <v>0</v>
      </c>
      <c r="C75" s="171"/>
      <c r="D75" s="171"/>
      <c r="E75" s="165"/>
    </row>
    <row r="76" s="151" customFormat="1" ht="15.95" hidden="1" customHeight="1" spans="1:5">
      <c r="A76" s="170" t="s">
        <v>151</v>
      </c>
      <c r="B76" s="171">
        <v>0</v>
      </c>
      <c r="C76" s="171"/>
      <c r="D76" s="171"/>
      <c r="E76" s="165"/>
    </row>
    <row r="77" s="151" customFormat="1" ht="15.95" hidden="1" customHeight="1" spans="1:5">
      <c r="A77" s="170" t="s">
        <v>116</v>
      </c>
      <c r="B77" s="171">
        <v>0</v>
      </c>
      <c r="C77" s="171"/>
      <c r="D77" s="171"/>
      <c r="E77" s="165"/>
    </row>
    <row r="78" s="151" customFormat="1" ht="15.95" customHeight="1" spans="1:5">
      <c r="A78" s="170" t="s">
        <v>152</v>
      </c>
      <c r="B78" s="171">
        <v>472</v>
      </c>
      <c r="C78" s="171"/>
      <c r="D78" s="171"/>
      <c r="E78" s="172">
        <f t="shared" ref="E78:E80" si="8">D78/B78</f>
        <v>0</v>
      </c>
    </row>
    <row r="79" s="151" customFormat="1" ht="15.95" customHeight="1" spans="1:5">
      <c r="A79" s="169" t="s">
        <v>153</v>
      </c>
      <c r="B79" s="167">
        <v>464</v>
      </c>
      <c r="C79" s="167">
        <v>242</v>
      </c>
      <c r="D79" s="167">
        <v>242</v>
      </c>
      <c r="E79" s="165">
        <f t="shared" si="8"/>
        <v>0.521551724137931</v>
      </c>
    </row>
    <row r="80" s="151" customFormat="1" ht="15.95" customHeight="1" spans="1:5">
      <c r="A80" s="170" t="s">
        <v>107</v>
      </c>
      <c r="B80" s="171">
        <v>223</v>
      </c>
      <c r="C80" s="171">
        <v>242</v>
      </c>
      <c r="D80" s="171">
        <v>242</v>
      </c>
      <c r="E80" s="172">
        <f t="shared" si="8"/>
        <v>1.08520179372197</v>
      </c>
    </row>
    <row r="81" s="151" customFormat="1" ht="15.95" hidden="1" customHeight="1" spans="1:5">
      <c r="A81" s="170" t="s">
        <v>108</v>
      </c>
      <c r="B81" s="171">
        <v>0</v>
      </c>
      <c r="C81" s="171"/>
      <c r="D81" s="171"/>
      <c r="E81" s="172"/>
    </row>
    <row r="82" s="151" customFormat="1" ht="15.95" hidden="1" customHeight="1" spans="1:5">
      <c r="A82" s="170" t="s">
        <v>109</v>
      </c>
      <c r="B82" s="171">
        <v>0</v>
      </c>
      <c r="C82" s="171"/>
      <c r="D82" s="171"/>
      <c r="E82" s="172"/>
    </row>
    <row r="83" s="151" customFormat="1" ht="15.95" customHeight="1" spans="1:5">
      <c r="A83" s="170" t="s">
        <v>154</v>
      </c>
      <c r="B83" s="171">
        <v>215</v>
      </c>
      <c r="C83" s="171"/>
      <c r="D83" s="171"/>
      <c r="E83" s="172">
        <f t="shared" ref="E83:E88" si="9">D83/B83</f>
        <v>0</v>
      </c>
    </row>
    <row r="84" s="151" customFormat="1" ht="15.95" hidden="1" customHeight="1" spans="1:5">
      <c r="A84" s="170" t="s">
        <v>155</v>
      </c>
      <c r="B84" s="171">
        <v>0</v>
      </c>
      <c r="C84" s="171"/>
      <c r="D84" s="171"/>
      <c r="E84" s="172"/>
    </row>
    <row r="85" s="151" customFormat="1" ht="15.95" hidden="1" customHeight="1" spans="1:5">
      <c r="A85" s="170" t="s">
        <v>147</v>
      </c>
      <c r="B85" s="171">
        <v>0</v>
      </c>
      <c r="C85" s="171"/>
      <c r="D85" s="171"/>
      <c r="E85" s="172"/>
    </row>
    <row r="86" s="151" customFormat="1" ht="15.95" hidden="1" customHeight="1" spans="1:5">
      <c r="A86" s="170" t="s">
        <v>116</v>
      </c>
      <c r="B86" s="171">
        <v>0</v>
      </c>
      <c r="C86" s="171"/>
      <c r="D86" s="171"/>
      <c r="E86" s="172"/>
    </row>
    <row r="87" s="151" customFormat="1" ht="15.95" customHeight="1" spans="1:5">
      <c r="A87" s="173" t="s">
        <v>156</v>
      </c>
      <c r="B87" s="171">
        <v>26</v>
      </c>
      <c r="C87" s="171"/>
      <c r="D87" s="171"/>
      <c r="E87" s="172">
        <f t="shared" si="9"/>
        <v>0</v>
      </c>
    </row>
    <row r="88" s="151" customFormat="1" ht="15.95" customHeight="1" spans="1:5">
      <c r="A88" s="169" t="s">
        <v>157</v>
      </c>
      <c r="B88" s="167">
        <v>50</v>
      </c>
      <c r="C88" s="167">
        <v>0</v>
      </c>
      <c r="D88" s="167">
        <v>0</v>
      </c>
      <c r="E88" s="165">
        <f t="shared" si="9"/>
        <v>0</v>
      </c>
    </row>
    <row r="89" s="151" customFormat="1" ht="15.95" hidden="1" customHeight="1" spans="1:5">
      <c r="A89" s="170" t="s">
        <v>107</v>
      </c>
      <c r="B89" s="171">
        <v>0</v>
      </c>
      <c r="C89" s="171"/>
      <c r="D89" s="171"/>
      <c r="E89" s="172"/>
    </row>
    <row r="90" s="151" customFormat="1" ht="15.95" hidden="1" customHeight="1" spans="1:5">
      <c r="A90" s="170" t="s">
        <v>108</v>
      </c>
      <c r="B90" s="171">
        <v>0</v>
      </c>
      <c r="C90" s="171"/>
      <c r="D90" s="171"/>
      <c r="E90" s="172"/>
    </row>
    <row r="91" s="151" customFormat="1" ht="15.95" hidden="1" customHeight="1" spans="1:5">
      <c r="A91" s="170" t="s">
        <v>109</v>
      </c>
      <c r="B91" s="171">
        <v>0</v>
      </c>
      <c r="C91" s="171"/>
      <c r="D91" s="171"/>
      <c r="E91" s="172"/>
    </row>
    <row r="92" s="151" customFormat="1" ht="15.95" hidden="1" customHeight="1" spans="1:5">
      <c r="A92" s="170" t="s">
        <v>158</v>
      </c>
      <c r="B92" s="171">
        <v>0</v>
      </c>
      <c r="C92" s="171"/>
      <c r="D92" s="171"/>
      <c r="E92" s="172"/>
    </row>
    <row r="93" s="151" customFormat="1" ht="15.95" hidden="1" customHeight="1" spans="1:5">
      <c r="A93" s="170" t="s">
        <v>159</v>
      </c>
      <c r="B93" s="171">
        <v>0</v>
      </c>
      <c r="C93" s="171"/>
      <c r="D93" s="171"/>
      <c r="E93" s="172"/>
    </row>
    <row r="94" s="151" customFormat="1" ht="15.95" hidden="1" customHeight="1" spans="1:5">
      <c r="A94" s="170" t="s">
        <v>147</v>
      </c>
      <c r="B94" s="171">
        <v>0</v>
      </c>
      <c r="C94" s="171"/>
      <c r="D94" s="171"/>
      <c r="E94" s="172"/>
    </row>
    <row r="95" s="151" customFormat="1" ht="15.95" hidden="1" customHeight="1" spans="1:5">
      <c r="A95" s="170" t="s">
        <v>160</v>
      </c>
      <c r="B95" s="171">
        <v>0</v>
      </c>
      <c r="C95" s="171"/>
      <c r="D95" s="171"/>
      <c r="E95" s="172"/>
    </row>
    <row r="96" s="151" customFormat="1" ht="15.95" hidden="1" customHeight="1" spans="1:5">
      <c r="A96" s="170" t="s">
        <v>161</v>
      </c>
      <c r="B96" s="171">
        <v>0</v>
      </c>
      <c r="C96" s="171"/>
      <c r="D96" s="171"/>
      <c r="E96" s="172"/>
    </row>
    <row r="97" s="151" customFormat="1" ht="15.95" hidden="1" customHeight="1" spans="1:5">
      <c r="A97" s="170" t="s">
        <v>162</v>
      </c>
      <c r="B97" s="171">
        <v>0</v>
      </c>
      <c r="C97" s="171"/>
      <c r="D97" s="171"/>
      <c r="E97" s="172"/>
    </row>
    <row r="98" s="151" customFormat="1" ht="15.95" hidden="1" customHeight="1" spans="1:5">
      <c r="A98" s="170" t="s">
        <v>163</v>
      </c>
      <c r="B98" s="171">
        <v>0</v>
      </c>
      <c r="C98" s="171"/>
      <c r="D98" s="171"/>
      <c r="E98" s="172"/>
    </row>
    <row r="99" s="151" customFormat="1" ht="15.95" hidden="1" customHeight="1" spans="1:5">
      <c r="A99" s="170" t="s">
        <v>116</v>
      </c>
      <c r="B99" s="171">
        <v>0</v>
      </c>
      <c r="C99" s="171"/>
      <c r="D99" s="171"/>
      <c r="E99" s="172"/>
    </row>
    <row r="100" s="151" customFormat="1" ht="15.95" customHeight="1" spans="1:5">
      <c r="A100" s="170" t="s">
        <v>164</v>
      </c>
      <c r="B100" s="171">
        <v>50</v>
      </c>
      <c r="C100" s="171"/>
      <c r="D100" s="171"/>
      <c r="E100" s="172">
        <f t="shared" ref="E100:E102" si="10">D100/B100</f>
        <v>0</v>
      </c>
    </row>
    <row r="101" s="151" customFormat="1" ht="15.95" customHeight="1" spans="1:5">
      <c r="A101" s="166" t="s">
        <v>165</v>
      </c>
      <c r="B101" s="167">
        <v>1811</v>
      </c>
      <c r="C101" s="167">
        <v>1601</v>
      </c>
      <c r="D101" s="167">
        <f>D102</f>
        <v>1578</v>
      </c>
      <c r="E101" s="165">
        <f t="shared" si="10"/>
        <v>0.871341800110436</v>
      </c>
    </row>
    <row r="102" s="151" customFormat="1" ht="15.95" customHeight="1" spans="1:5">
      <c r="A102" s="170" t="s">
        <v>107</v>
      </c>
      <c r="B102" s="171">
        <v>1509</v>
      </c>
      <c r="C102" s="171">
        <v>1601</v>
      </c>
      <c r="D102" s="171">
        <f>1601-23</f>
        <v>1578</v>
      </c>
      <c r="E102" s="172">
        <f t="shared" si="10"/>
        <v>1.04572564612326</v>
      </c>
    </row>
    <row r="103" s="151" customFormat="1" ht="15.95" hidden="1" customHeight="1" spans="1:5">
      <c r="A103" s="170" t="s">
        <v>108</v>
      </c>
      <c r="B103" s="171">
        <v>0</v>
      </c>
      <c r="C103" s="171"/>
      <c r="D103" s="171"/>
      <c r="E103" s="172"/>
    </row>
    <row r="104" s="151" customFormat="1" ht="15.95" hidden="1" customHeight="1" spans="1:5">
      <c r="A104" s="170" t="s">
        <v>109</v>
      </c>
      <c r="B104" s="171">
        <v>0</v>
      </c>
      <c r="C104" s="171"/>
      <c r="D104" s="171"/>
      <c r="E104" s="172"/>
    </row>
    <row r="105" s="151" customFormat="1" ht="15.95" hidden="1" customHeight="1" spans="1:5">
      <c r="A105" s="170" t="s">
        <v>166</v>
      </c>
      <c r="B105" s="171">
        <v>0</v>
      </c>
      <c r="C105" s="171"/>
      <c r="D105" s="171"/>
      <c r="E105" s="172"/>
    </row>
    <row r="106" s="151" customFormat="1" ht="15.95" hidden="1" customHeight="1" spans="1:5">
      <c r="A106" s="170" t="s">
        <v>167</v>
      </c>
      <c r="B106" s="171">
        <v>0</v>
      </c>
      <c r="C106" s="171"/>
      <c r="D106" s="171"/>
      <c r="E106" s="172"/>
    </row>
    <row r="107" s="151" customFormat="1" ht="15.95" customHeight="1" spans="1:5">
      <c r="A107" s="170" t="s">
        <v>168</v>
      </c>
      <c r="B107" s="171">
        <v>75</v>
      </c>
      <c r="C107" s="171"/>
      <c r="D107" s="171"/>
      <c r="E107" s="172">
        <f t="shared" ref="E107:E111" si="11">D107/B107</f>
        <v>0</v>
      </c>
    </row>
    <row r="108" s="151" customFormat="1" ht="15.95" hidden="1" customHeight="1" spans="1:5">
      <c r="A108" s="170" t="s">
        <v>116</v>
      </c>
      <c r="B108" s="171">
        <v>0</v>
      </c>
      <c r="C108" s="171"/>
      <c r="D108" s="171"/>
      <c r="E108" s="172"/>
    </row>
    <row r="109" s="151" customFormat="1" ht="15.95" customHeight="1" spans="1:5">
      <c r="A109" s="170" t="s">
        <v>169</v>
      </c>
      <c r="B109" s="171">
        <v>227</v>
      </c>
      <c r="C109" s="171"/>
      <c r="D109" s="171"/>
      <c r="E109" s="172">
        <f t="shared" si="11"/>
        <v>0</v>
      </c>
    </row>
    <row r="110" s="151" customFormat="1" ht="15.95" customHeight="1" spans="1:5">
      <c r="A110" s="166" t="s">
        <v>170</v>
      </c>
      <c r="B110" s="167">
        <v>1016</v>
      </c>
      <c r="C110" s="167">
        <v>261</v>
      </c>
      <c r="D110" s="167">
        <v>261</v>
      </c>
      <c r="E110" s="165">
        <f t="shared" si="11"/>
        <v>0.256889763779528</v>
      </c>
    </row>
    <row r="111" s="151" customFormat="1" ht="15.95" customHeight="1" spans="1:5">
      <c r="A111" s="170" t="s">
        <v>107</v>
      </c>
      <c r="B111" s="171">
        <v>216</v>
      </c>
      <c r="C111" s="171">
        <v>247</v>
      </c>
      <c r="D111" s="171">
        <v>247</v>
      </c>
      <c r="E111" s="172">
        <f t="shared" si="11"/>
        <v>1.14351851851852</v>
      </c>
    </row>
    <row r="112" s="151" customFormat="1" ht="15.95" hidden="1" customHeight="1" spans="1:5">
      <c r="A112" s="170" t="s">
        <v>108</v>
      </c>
      <c r="B112" s="171">
        <v>0</v>
      </c>
      <c r="C112" s="171"/>
      <c r="D112" s="171"/>
      <c r="E112" s="172"/>
    </row>
    <row r="113" s="151" customFormat="1" ht="15.95" hidden="1" customHeight="1" spans="1:5">
      <c r="A113" s="170" t="s">
        <v>109</v>
      </c>
      <c r="B113" s="171">
        <v>0</v>
      </c>
      <c r="C113" s="171"/>
      <c r="D113" s="171"/>
      <c r="E113" s="172"/>
    </row>
    <row r="114" s="151" customFormat="1" ht="15.95" hidden="1" customHeight="1" spans="1:5">
      <c r="A114" s="170" t="s">
        <v>171</v>
      </c>
      <c r="B114" s="171">
        <v>0</v>
      </c>
      <c r="C114" s="171"/>
      <c r="D114" s="171"/>
      <c r="E114" s="172"/>
    </row>
    <row r="115" s="151" customFormat="1" ht="15.95" hidden="1" customHeight="1" spans="1:5">
      <c r="A115" s="170" t="s">
        <v>172</v>
      </c>
      <c r="B115" s="171">
        <v>0</v>
      </c>
      <c r="C115" s="171"/>
      <c r="D115" s="171"/>
      <c r="E115" s="172"/>
    </row>
    <row r="116" s="151" customFormat="1" ht="15.95" hidden="1" customHeight="1" spans="1:5">
      <c r="A116" s="170" t="s">
        <v>173</v>
      </c>
      <c r="B116" s="171">
        <v>0</v>
      </c>
      <c r="C116" s="171"/>
      <c r="D116" s="171"/>
      <c r="E116" s="172"/>
    </row>
    <row r="117" s="151" customFormat="1" ht="15.95" hidden="1" customHeight="1" spans="1:5">
      <c r="A117" s="170" t="s">
        <v>174</v>
      </c>
      <c r="B117" s="171">
        <v>0</v>
      </c>
      <c r="C117" s="171"/>
      <c r="D117" s="171"/>
      <c r="E117" s="172"/>
    </row>
    <row r="118" s="151" customFormat="1" ht="15.95" customHeight="1" spans="1:5">
      <c r="A118" s="170" t="s">
        <v>175</v>
      </c>
      <c r="B118" s="171">
        <v>63</v>
      </c>
      <c r="C118" s="171">
        <v>10</v>
      </c>
      <c r="D118" s="171">
        <v>10</v>
      </c>
      <c r="E118" s="172">
        <f>D118/B118</f>
        <v>0.158730158730159</v>
      </c>
    </row>
    <row r="119" s="151" customFormat="1" ht="15.95" hidden="1" customHeight="1" spans="1:5">
      <c r="A119" s="170" t="s">
        <v>116</v>
      </c>
      <c r="B119" s="171">
        <v>0</v>
      </c>
      <c r="C119" s="171"/>
      <c r="D119" s="171"/>
      <c r="E119" s="172"/>
    </row>
    <row r="120" s="151" customFormat="1" ht="15.95" customHeight="1" spans="1:5">
      <c r="A120" s="170" t="s">
        <v>176</v>
      </c>
      <c r="B120" s="171">
        <v>737</v>
      </c>
      <c r="C120" s="171">
        <v>4</v>
      </c>
      <c r="D120" s="171">
        <v>4</v>
      </c>
      <c r="E120" s="172">
        <f>D120/B120</f>
        <v>0.00542740841248304</v>
      </c>
    </row>
    <row r="121" s="151" customFormat="1" ht="15.95" customHeight="1" spans="1:5">
      <c r="A121" s="169" t="s">
        <v>177</v>
      </c>
      <c r="B121" s="167">
        <v>0</v>
      </c>
      <c r="C121" s="167">
        <v>10</v>
      </c>
      <c r="D121" s="167">
        <v>10</v>
      </c>
      <c r="E121" s="165"/>
    </row>
    <row r="122" s="151" customFormat="1" ht="15.95" hidden="1" customHeight="1" spans="1:5">
      <c r="A122" s="170" t="s">
        <v>107</v>
      </c>
      <c r="B122" s="171"/>
      <c r="C122" s="171"/>
      <c r="D122" s="171"/>
      <c r="E122" s="165"/>
    </row>
    <row r="123" s="151" customFormat="1" ht="15.95" hidden="1" customHeight="1" spans="1:5">
      <c r="A123" s="173" t="s">
        <v>108</v>
      </c>
      <c r="B123" s="171"/>
      <c r="C123" s="171"/>
      <c r="D123" s="171"/>
      <c r="E123" s="165"/>
    </row>
    <row r="124" s="151" customFormat="1" ht="15.95" hidden="1" customHeight="1" spans="1:5">
      <c r="A124" s="170" t="s">
        <v>109</v>
      </c>
      <c r="B124" s="171"/>
      <c r="C124" s="171"/>
      <c r="D124" s="171"/>
      <c r="E124" s="165"/>
    </row>
    <row r="125" s="151" customFormat="1" ht="15.95" hidden="1" customHeight="1" spans="1:5">
      <c r="A125" s="170" t="s">
        <v>178</v>
      </c>
      <c r="B125" s="171"/>
      <c r="C125" s="171"/>
      <c r="D125" s="171"/>
      <c r="E125" s="165"/>
    </row>
    <row r="126" s="151" customFormat="1" ht="15.95" hidden="1" customHeight="1" spans="1:5">
      <c r="A126" s="170" t="s">
        <v>179</v>
      </c>
      <c r="B126" s="171"/>
      <c r="C126" s="171"/>
      <c r="D126" s="171"/>
      <c r="E126" s="165"/>
    </row>
    <row r="127" s="151" customFormat="1" ht="15.95" hidden="1" customHeight="1" spans="1:5">
      <c r="A127" s="170" t="s">
        <v>180</v>
      </c>
      <c r="B127" s="171"/>
      <c r="C127" s="171"/>
      <c r="D127" s="171"/>
      <c r="E127" s="165"/>
    </row>
    <row r="128" s="151" customFormat="1" ht="15.95" hidden="1" customHeight="1" spans="1:5">
      <c r="A128" s="170" t="s">
        <v>181</v>
      </c>
      <c r="B128" s="171"/>
      <c r="C128" s="171"/>
      <c r="D128" s="171"/>
      <c r="E128" s="165"/>
    </row>
    <row r="129" s="151" customFormat="1" ht="15.95" hidden="1" customHeight="1" spans="1:5">
      <c r="A129" s="170" t="s">
        <v>182</v>
      </c>
      <c r="B129" s="171"/>
      <c r="C129" s="171"/>
      <c r="D129" s="171"/>
      <c r="E129" s="165"/>
    </row>
    <row r="130" s="151" customFormat="1" ht="15.95" hidden="1" customHeight="1" spans="1:5">
      <c r="A130" s="170" t="s">
        <v>183</v>
      </c>
      <c r="B130" s="171"/>
      <c r="C130" s="171"/>
      <c r="D130" s="171"/>
      <c r="E130" s="165"/>
    </row>
    <row r="131" s="151" customFormat="1" ht="15.95" hidden="1" customHeight="1" spans="1:5">
      <c r="A131" s="170" t="s">
        <v>116</v>
      </c>
      <c r="B131" s="171"/>
      <c r="C131" s="171"/>
      <c r="D131" s="171"/>
      <c r="E131" s="165"/>
    </row>
    <row r="132" s="151" customFormat="1" ht="15.95" customHeight="1" spans="1:5">
      <c r="A132" s="170" t="s">
        <v>184</v>
      </c>
      <c r="B132" s="171"/>
      <c r="C132" s="171">
        <v>10</v>
      </c>
      <c r="D132" s="171">
        <v>10</v>
      </c>
      <c r="E132" s="165"/>
    </row>
    <row r="133" s="151" customFormat="1" ht="15.95" customHeight="1" spans="1:5">
      <c r="A133" s="169" t="s">
        <v>185</v>
      </c>
      <c r="B133" s="167">
        <v>113</v>
      </c>
      <c r="C133" s="167">
        <v>129</v>
      </c>
      <c r="D133" s="167">
        <f>SUM(D134:D139)</f>
        <v>125</v>
      </c>
      <c r="E133" s="165">
        <f>D133/B133</f>
        <v>1.10619469026549</v>
      </c>
    </row>
    <row r="134" s="151" customFormat="1" ht="15.95" customHeight="1" spans="1:5">
      <c r="A134" s="170" t="s">
        <v>107</v>
      </c>
      <c r="B134" s="171">
        <v>95</v>
      </c>
      <c r="C134" s="171">
        <v>103</v>
      </c>
      <c r="D134" s="171">
        <f>103-4</f>
        <v>99</v>
      </c>
      <c r="E134" s="172">
        <f>D134/B134</f>
        <v>1.04210526315789</v>
      </c>
    </row>
    <row r="135" s="151" customFormat="1" ht="15.95" hidden="1" customHeight="1" spans="1:5">
      <c r="A135" s="170" t="s">
        <v>108</v>
      </c>
      <c r="B135" s="171">
        <v>0</v>
      </c>
      <c r="C135" s="171"/>
      <c r="D135" s="171"/>
      <c r="E135" s="172"/>
    </row>
    <row r="136" s="151" customFormat="1" ht="15.95" hidden="1" customHeight="1" spans="1:5">
      <c r="A136" s="170" t="s">
        <v>109</v>
      </c>
      <c r="B136" s="171">
        <v>0</v>
      </c>
      <c r="C136" s="171"/>
      <c r="D136" s="171"/>
      <c r="E136" s="172"/>
    </row>
    <row r="137" s="151" customFormat="1" ht="15.95" hidden="1" customHeight="1" spans="1:5">
      <c r="A137" s="170" t="s">
        <v>186</v>
      </c>
      <c r="B137" s="171">
        <v>0</v>
      </c>
      <c r="C137" s="171"/>
      <c r="D137" s="171"/>
      <c r="E137" s="172"/>
    </row>
    <row r="138" s="151" customFormat="1" ht="15.95" hidden="1" customHeight="1" spans="1:5">
      <c r="A138" s="170" t="s">
        <v>116</v>
      </c>
      <c r="B138" s="171">
        <v>0</v>
      </c>
      <c r="C138" s="171"/>
      <c r="D138" s="171"/>
      <c r="E138" s="172"/>
    </row>
    <row r="139" s="151" customFormat="1" ht="15.95" customHeight="1" spans="1:5">
      <c r="A139" s="173" t="s">
        <v>187</v>
      </c>
      <c r="B139" s="171">
        <v>18</v>
      </c>
      <c r="C139" s="171">
        <v>26</v>
      </c>
      <c r="D139" s="171">
        <v>26</v>
      </c>
      <c r="E139" s="172">
        <f t="shared" ref="E139:E141" si="12">D139/B139</f>
        <v>1.44444444444444</v>
      </c>
    </row>
    <row r="140" s="151" customFormat="1" ht="15.95" customHeight="1" spans="1:5">
      <c r="A140" s="169" t="s">
        <v>188</v>
      </c>
      <c r="B140" s="167">
        <v>85</v>
      </c>
      <c r="C140" s="167">
        <v>54</v>
      </c>
      <c r="D140" s="167">
        <f>D141</f>
        <v>51</v>
      </c>
      <c r="E140" s="165">
        <f t="shared" si="12"/>
        <v>0.6</v>
      </c>
    </row>
    <row r="141" s="151" customFormat="1" ht="15.95" customHeight="1" spans="1:5">
      <c r="A141" s="170" t="s">
        <v>107</v>
      </c>
      <c r="B141" s="171">
        <v>50</v>
      </c>
      <c r="C141" s="171">
        <v>54</v>
      </c>
      <c r="D141" s="171">
        <f>54-3</f>
        <v>51</v>
      </c>
      <c r="E141" s="172">
        <f t="shared" si="12"/>
        <v>1.02</v>
      </c>
    </row>
    <row r="142" s="151" customFormat="1" ht="15.95" hidden="1" customHeight="1" spans="1:5">
      <c r="A142" s="170" t="s">
        <v>108</v>
      </c>
      <c r="B142" s="171">
        <v>0</v>
      </c>
      <c r="C142" s="171"/>
      <c r="D142" s="171"/>
      <c r="E142" s="172"/>
    </row>
    <row r="143" s="151" customFormat="1" ht="15.95" hidden="1" customHeight="1" spans="1:5">
      <c r="A143" s="170" t="s">
        <v>109</v>
      </c>
      <c r="B143" s="171">
        <v>0</v>
      </c>
      <c r="C143" s="171"/>
      <c r="D143" s="171"/>
      <c r="E143" s="172"/>
    </row>
    <row r="144" s="151" customFormat="1" ht="15.95" customHeight="1" spans="1:5">
      <c r="A144" s="170" t="s">
        <v>189</v>
      </c>
      <c r="B144" s="171">
        <v>33</v>
      </c>
      <c r="C144" s="171"/>
      <c r="D144" s="171"/>
      <c r="E144" s="172">
        <f t="shared" ref="E144:E149" si="13">D144/B144</f>
        <v>0</v>
      </c>
    </row>
    <row r="145" s="151" customFormat="1" ht="15.95" customHeight="1" spans="1:5">
      <c r="A145" s="173" t="s">
        <v>190</v>
      </c>
      <c r="B145" s="171">
        <v>2</v>
      </c>
      <c r="C145" s="171"/>
      <c r="D145" s="171"/>
      <c r="E145" s="172">
        <f t="shared" si="13"/>
        <v>0</v>
      </c>
    </row>
    <row r="146" s="151" customFormat="1" ht="15.95" hidden="1" customHeight="1" spans="1:5">
      <c r="A146" s="170" t="s">
        <v>116</v>
      </c>
      <c r="B146" s="171"/>
      <c r="C146" s="171"/>
      <c r="D146" s="171"/>
      <c r="E146" s="165"/>
    </row>
    <row r="147" s="151" customFormat="1" ht="15.95" hidden="1" customHeight="1" spans="1:5">
      <c r="A147" s="170" t="s">
        <v>191</v>
      </c>
      <c r="B147" s="171"/>
      <c r="C147" s="171"/>
      <c r="D147" s="171"/>
      <c r="E147" s="165"/>
    </row>
    <row r="148" s="151" customFormat="1" ht="15.95" customHeight="1" spans="1:5">
      <c r="A148" s="169" t="s">
        <v>192</v>
      </c>
      <c r="B148" s="167">
        <v>166</v>
      </c>
      <c r="C148" s="167">
        <v>141</v>
      </c>
      <c r="D148" s="167">
        <v>141</v>
      </c>
      <c r="E148" s="165">
        <f t="shared" si="13"/>
        <v>0.849397590361446</v>
      </c>
    </row>
    <row r="149" s="151" customFormat="1" ht="15.95" customHeight="1" spans="1:5">
      <c r="A149" s="170" t="s">
        <v>107</v>
      </c>
      <c r="B149" s="171">
        <v>126</v>
      </c>
      <c r="C149" s="171">
        <v>141</v>
      </c>
      <c r="D149" s="171">
        <v>141</v>
      </c>
      <c r="E149" s="172">
        <f t="shared" si="13"/>
        <v>1.11904761904762</v>
      </c>
    </row>
    <row r="150" s="151" customFormat="1" ht="15.95" hidden="1" customHeight="1" spans="1:5">
      <c r="A150" s="170" t="s">
        <v>108</v>
      </c>
      <c r="B150" s="171">
        <v>0</v>
      </c>
      <c r="C150" s="171"/>
      <c r="D150" s="171"/>
      <c r="E150" s="172"/>
    </row>
    <row r="151" s="151" customFormat="1" ht="15.95" hidden="1" customHeight="1" spans="1:5">
      <c r="A151" s="170" t="s">
        <v>109</v>
      </c>
      <c r="B151" s="171">
        <v>0</v>
      </c>
      <c r="C151" s="171"/>
      <c r="D151" s="171"/>
      <c r="E151" s="172"/>
    </row>
    <row r="152" s="151" customFormat="1" ht="15.95" customHeight="1" spans="1:5">
      <c r="A152" s="170" t="s">
        <v>193</v>
      </c>
      <c r="B152" s="171">
        <v>12</v>
      </c>
      <c r="C152" s="171"/>
      <c r="D152" s="171"/>
      <c r="E152" s="172">
        <f t="shared" ref="E152:E155" si="14">D152/B152</f>
        <v>0</v>
      </c>
    </row>
    <row r="153" s="151" customFormat="1" ht="15.95" customHeight="1" spans="1:5">
      <c r="A153" s="170" t="s">
        <v>194</v>
      </c>
      <c r="B153" s="171">
        <v>28</v>
      </c>
      <c r="C153" s="171"/>
      <c r="D153" s="171"/>
      <c r="E153" s="172">
        <f t="shared" si="14"/>
        <v>0</v>
      </c>
    </row>
    <row r="154" s="151" customFormat="1" ht="15.95" customHeight="1" spans="1:5">
      <c r="A154" s="169" t="s">
        <v>195</v>
      </c>
      <c r="B154" s="167">
        <v>64</v>
      </c>
      <c r="C154" s="167">
        <v>69</v>
      </c>
      <c r="D154" s="167">
        <f>D155</f>
        <v>59</v>
      </c>
      <c r="E154" s="165">
        <f t="shared" si="14"/>
        <v>0.921875</v>
      </c>
    </row>
    <row r="155" s="151" customFormat="1" ht="15.95" customHeight="1" spans="1:5">
      <c r="A155" s="170" t="s">
        <v>107</v>
      </c>
      <c r="B155" s="171">
        <v>64</v>
      </c>
      <c r="C155" s="171">
        <v>69</v>
      </c>
      <c r="D155" s="171">
        <f>69-10</f>
        <v>59</v>
      </c>
      <c r="E155" s="172">
        <f t="shared" si="14"/>
        <v>0.921875</v>
      </c>
    </row>
    <row r="156" s="151" customFormat="1" ht="15.95" hidden="1" customHeight="1" spans="1:5">
      <c r="A156" s="170" t="s">
        <v>108</v>
      </c>
      <c r="B156" s="171">
        <v>0</v>
      </c>
      <c r="C156" s="171"/>
      <c r="D156" s="171"/>
      <c r="E156" s="165"/>
    </row>
    <row r="157" s="151" customFormat="1" ht="15.95" hidden="1" customHeight="1" spans="1:5">
      <c r="A157" s="173" t="s">
        <v>109</v>
      </c>
      <c r="B157" s="171"/>
      <c r="C157" s="171"/>
      <c r="D157" s="171"/>
      <c r="E157" s="165"/>
    </row>
    <row r="158" s="151" customFormat="1" ht="15.95" hidden="1" customHeight="1" spans="1:5">
      <c r="A158" s="170" t="s">
        <v>121</v>
      </c>
      <c r="B158" s="171"/>
      <c r="C158" s="174"/>
      <c r="D158" s="174"/>
      <c r="E158" s="165"/>
    </row>
    <row r="159" s="151" customFormat="1" ht="15.95" hidden="1" customHeight="1" spans="1:5">
      <c r="A159" s="170" t="s">
        <v>116</v>
      </c>
      <c r="B159" s="171"/>
      <c r="C159" s="171"/>
      <c r="D159" s="171"/>
      <c r="E159" s="165"/>
    </row>
    <row r="160" s="151" customFormat="1" ht="15.95" hidden="1" customHeight="1" spans="1:5">
      <c r="A160" s="170" t="s">
        <v>196</v>
      </c>
      <c r="B160" s="171"/>
      <c r="C160" s="171"/>
      <c r="D160" s="171"/>
      <c r="E160" s="165"/>
    </row>
    <row r="161" s="151" customFormat="1" ht="15.95" customHeight="1" spans="1:5">
      <c r="A161" s="169" t="s">
        <v>197</v>
      </c>
      <c r="B161" s="167">
        <v>922</v>
      </c>
      <c r="C161" s="167">
        <v>1233</v>
      </c>
      <c r="D161" s="167">
        <f>SUM(D162:D167)</f>
        <v>1225</v>
      </c>
      <c r="E161" s="165">
        <f t="shared" ref="E161:E163" si="15">D161/B161</f>
        <v>1.32863340563991</v>
      </c>
    </row>
    <row r="162" s="151" customFormat="1" ht="15.95" customHeight="1" spans="1:5">
      <c r="A162" s="170" t="s">
        <v>107</v>
      </c>
      <c r="B162" s="171">
        <v>428</v>
      </c>
      <c r="C162" s="171">
        <v>1163</v>
      </c>
      <c r="D162" s="171">
        <f>1163-8</f>
        <v>1155</v>
      </c>
      <c r="E162" s="172">
        <f t="shared" si="15"/>
        <v>2.69859813084112</v>
      </c>
    </row>
    <row r="163" s="151" customFormat="1" ht="15.95" customHeight="1" spans="1:5">
      <c r="A163" s="170" t="s">
        <v>108</v>
      </c>
      <c r="B163" s="171">
        <v>30</v>
      </c>
      <c r="C163" s="171">
        <v>30</v>
      </c>
      <c r="D163" s="171">
        <v>30</v>
      </c>
      <c r="E163" s="172">
        <f t="shared" si="15"/>
        <v>1</v>
      </c>
    </row>
    <row r="164" s="151" customFormat="1" ht="15.95" hidden="1" customHeight="1" spans="1:5">
      <c r="A164" s="170" t="s">
        <v>109</v>
      </c>
      <c r="B164" s="171">
        <v>0</v>
      </c>
      <c r="C164" s="171"/>
      <c r="D164" s="171"/>
      <c r="E164" s="172"/>
    </row>
    <row r="165" s="151" customFormat="1" ht="15.95" hidden="1" customHeight="1" spans="1:5">
      <c r="A165" s="170" t="s">
        <v>198</v>
      </c>
      <c r="B165" s="171">
        <v>0</v>
      </c>
      <c r="C165" s="171"/>
      <c r="D165" s="171"/>
      <c r="E165" s="172"/>
    </row>
    <row r="166" s="151" customFormat="1" ht="15.95" hidden="1" customHeight="1" spans="1:5">
      <c r="A166" s="170" t="s">
        <v>116</v>
      </c>
      <c r="B166" s="171">
        <v>0</v>
      </c>
      <c r="C166" s="171"/>
      <c r="D166" s="171"/>
      <c r="E166" s="172"/>
    </row>
    <row r="167" s="151" customFormat="1" ht="15.95" customHeight="1" spans="1:5">
      <c r="A167" s="170" t="s">
        <v>199</v>
      </c>
      <c r="B167" s="171">
        <v>464</v>
      </c>
      <c r="C167" s="171">
        <v>40</v>
      </c>
      <c r="D167" s="171">
        <v>40</v>
      </c>
      <c r="E167" s="172">
        <f t="shared" ref="E167:E169" si="16">D167/B167</f>
        <v>0.0862068965517241</v>
      </c>
    </row>
    <row r="168" s="151" customFormat="1" ht="18.95" customHeight="1" spans="1:5">
      <c r="A168" s="169" t="s">
        <v>200</v>
      </c>
      <c r="B168" s="167">
        <v>2397</v>
      </c>
      <c r="C168" s="167">
        <v>932</v>
      </c>
      <c r="D168" s="167">
        <f>D169</f>
        <v>900</v>
      </c>
      <c r="E168" s="165">
        <f t="shared" si="16"/>
        <v>0.375469336670839</v>
      </c>
    </row>
    <row r="169" s="151" customFormat="1" ht="15.95" customHeight="1" spans="1:5">
      <c r="A169" s="170" t="s">
        <v>107</v>
      </c>
      <c r="B169" s="171">
        <v>924</v>
      </c>
      <c r="C169" s="171">
        <v>932</v>
      </c>
      <c r="D169" s="171">
        <f>932-32</f>
        <v>900</v>
      </c>
      <c r="E169" s="172">
        <f t="shared" si="16"/>
        <v>0.974025974025974</v>
      </c>
    </row>
    <row r="170" s="151" customFormat="1" ht="15.95" hidden="1" customHeight="1" spans="1:5">
      <c r="A170" s="170" t="s">
        <v>108</v>
      </c>
      <c r="B170" s="171">
        <v>0</v>
      </c>
      <c r="C170" s="171"/>
      <c r="D170" s="171"/>
      <c r="E170" s="172"/>
    </row>
    <row r="171" s="151" customFormat="1" ht="15.95" hidden="1" customHeight="1" spans="1:5">
      <c r="A171" s="170" t="s">
        <v>109</v>
      </c>
      <c r="B171" s="171">
        <v>0</v>
      </c>
      <c r="C171" s="171"/>
      <c r="D171" s="171"/>
      <c r="E171" s="172"/>
    </row>
    <row r="172" s="151" customFormat="1" ht="15.95" hidden="1" customHeight="1" spans="1:5">
      <c r="A172" s="170" t="s">
        <v>201</v>
      </c>
      <c r="B172" s="171">
        <v>0</v>
      </c>
      <c r="C172" s="171"/>
      <c r="D172" s="171"/>
      <c r="E172" s="172"/>
    </row>
    <row r="173" s="151" customFormat="1" ht="15.95" hidden="1" customHeight="1" spans="1:5">
      <c r="A173" s="170" t="s">
        <v>116</v>
      </c>
      <c r="B173" s="171">
        <v>0</v>
      </c>
      <c r="C173" s="171"/>
      <c r="D173" s="171"/>
      <c r="E173" s="172"/>
    </row>
    <row r="174" s="151" customFormat="1" ht="27" customHeight="1" spans="1:5">
      <c r="A174" s="170" t="s">
        <v>202</v>
      </c>
      <c r="B174" s="171">
        <v>1473</v>
      </c>
      <c r="C174" s="171"/>
      <c r="D174" s="171"/>
      <c r="E174" s="172">
        <f t="shared" ref="E174:E176" si="17">D174/B174</f>
        <v>0</v>
      </c>
    </row>
    <row r="175" s="151" customFormat="1" ht="15.95" customHeight="1" spans="1:5">
      <c r="A175" s="169" t="s">
        <v>203</v>
      </c>
      <c r="B175" s="167">
        <v>1401</v>
      </c>
      <c r="C175" s="167">
        <v>2605</v>
      </c>
      <c r="D175" s="167">
        <f>SUM(D176:D181)</f>
        <v>2594</v>
      </c>
      <c r="E175" s="165">
        <f t="shared" si="17"/>
        <v>1.85153461812991</v>
      </c>
    </row>
    <row r="176" s="151" customFormat="1" ht="15.95" customHeight="1" spans="1:5">
      <c r="A176" s="170" t="s">
        <v>107</v>
      </c>
      <c r="B176" s="171">
        <v>683</v>
      </c>
      <c r="C176" s="171">
        <v>740</v>
      </c>
      <c r="D176" s="171">
        <f>740-9</f>
        <v>731</v>
      </c>
      <c r="E176" s="172">
        <f t="shared" si="17"/>
        <v>1.07027818448023</v>
      </c>
    </row>
    <row r="177" s="151" customFormat="1" ht="15.95" hidden="1" customHeight="1" spans="1:5">
      <c r="A177" s="170" t="s">
        <v>108</v>
      </c>
      <c r="B177" s="171">
        <v>0</v>
      </c>
      <c r="C177" s="171"/>
      <c r="D177" s="171"/>
      <c r="E177" s="172"/>
    </row>
    <row r="178" s="151" customFormat="1" ht="15.95" hidden="1" customHeight="1" spans="1:5">
      <c r="A178" s="170" t="s">
        <v>109</v>
      </c>
      <c r="B178" s="171">
        <v>0</v>
      </c>
      <c r="C178" s="171"/>
      <c r="D178" s="171"/>
      <c r="E178" s="172"/>
    </row>
    <row r="179" s="151" customFormat="1" ht="15.95" customHeight="1" spans="1:5">
      <c r="A179" s="170" t="s">
        <v>204</v>
      </c>
      <c r="B179" s="171">
        <v>38</v>
      </c>
      <c r="C179" s="171"/>
      <c r="D179" s="171"/>
      <c r="E179" s="172">
        <f t="shared" ref="E179:E183" si="18">D179/B179</f>
        <v>0</v>
      </c>
    </row>
    <row r="180" s="151" customFormat="1" ht="15.95" customHeight="1" spans="1:5">
      <c r="A180" s="170" t="s">
        <v>116</v>
      </c>
      <c r="B180" s="171">
        <v>74</v>
      </c>
      <c r="C180" s="171">
        <v>76</v>
      </c>
      <c r="D180" s="171">
        <f>76-2</f>
        <v>74</v>
      </c>
      <c r="E180" s="172">
        <f t="shared" si="18"/>
        <v>1</v>
      </c>
    </row>
    <row r="181" s="151" customFormat="1" ht="15.95" customHeight="1" spans="1:5">
      <c r="A181" s="170" t="s">
        <v>205</v>
      </c>
      <c r="B181" s="171">
        <v>606</v>
      </c>
      <c r="C181" s="171">
        <v>1789</v>
      </c>
      <c r="D181" s="171">
        <v>1789</v>
      </c>
      <c r="E181" s="172">
        <f t="shared" si="18"/>
        <v>2.95214521452145</v>
      </c>
    </row>
    <row r="182" s="151" customFormat="1" ht="15.95" customHeight="1" spans="1:5">
      <c r="A182" s="169" t="s">
        <v>206</v>
      </c>
      <c r="B182" s="167">
        <v>663</v>
      </c>
      <c r="C182" s="167">
        <v>334</v>
      </c>
      <c r="D182" s="167">
        <v>334</v>
      </c>
      <c r="E182" s="165">
        <f t="shared" si="18"/>
        <v>0.503770739064857</v>
      </c>
    </row>
    <row r="183" s="151" customFormat="1" ht="15.95" customHeight="1" spans="1:5">
      <c r="A183" s="173" t="s">
        <v>107</v>
      </c>
      <c r="B183" s="171">
        <v>237</v>
      </c>
      <c r="C183" s="171">
        <v>262</v>
      </c>
      <c r="D183" s="171">
        <v>262</v>
      </c>
      <c r="E183" s="172">
        <f t="shared" si="18"/>
        <v>1.10548523206751</v>
      </c>
    </row>
    <row r="184" s="151" customFormat="1" ht="15.95" hidden="1" customHeight="1" spans="1:5">
      <c r="A184" s="170" t="s">
        <v>108</v>
      </c>
      <c r="B184" s="171">
        <v>0</v>
      </c>
      <c r="C184" s="171"/>
      <c r="D184" s="171"/>
      <c r="E184" s="172"/>
    </row>
    <row r="185" s="151" customFormat="1" ht="15.95" hidden="1" customHeight="1" spans="1:5">
      <c r="A185" s="170" t="s">
        <v>109</v>
      </c>
      <c r="B185" s="171">
        <v>0</v>
      </c>
      <c r="C185" s="171"/>
      <c r="D185" s="171"/>
      <c r="E185" s="172"/>
    </row>
    <row r="186" s="151" customFormat="1" ht="15.95" hidden="1" customHeight="1" spans="1:5">
      <c r="A186" s="170" t="s">
        <v>207</v>
      </c>
      <c r="B186" s="171">
        <v>0</v>
      </c>
      <c r="C186" s="171"/>
      <c r="D186" s="171"/>
      <c r="E186" s="172"/>
    </row>
    <row r="187" s="151" customFormat="1" ht="15.95" customHeight="1" spans="1:5">
      <c r="A187" s="170" t="s">
        <v>116</v>
      </c>
      <c r="B187" s="171">
        <v>9</v>
      </c>
      <c r="C187" s="171">
        <v>46</v>
      </c>
      <c r="D187" s="171">
        <v>46</v>
      </c>
      <c r="E187" s="172">
        <f t="shared" ref="E187:E190" si="19">D187/B187</f>
        <v>5.11111111111111</v>
      </c>
    </row>
    <row r="188" s="151" customFormat="1" ht="15.95" customHeight="1" spans="1:5">
      <c r="A188" s="170" t="s">
        <v>208</v>
      </c>
      <c r="B188" s="171">
        <v>417</v>
      </c>
      <c r="C188" s="171">
        <v>26</v>
      </c>
      <c r="D188" s="171">
        <v>26</v>
      </c>
      <c r="E188" s="172">
        <f t="shared" si="19"/>
        <v>0.0623501199040767</v>
      </c>
    </row>
    <row r="189" s="151" customFormat="1" ht="15.95" customHeight="1" spans="1:5">
      <c r="A189" s="169" t="s">
        <v>209</v>
      </c>
      <c r="B189" s="167">
        <v>242</v>
      </c>
      <c r="C189" s="167">
        <v>247</v>
      </c>
      <c r="D189" s="167">
        <v>247</v>
      </c>
      <c r="E189" s="165">
        <f t="shared" si="19"/>
        <v>1.02066115702479</v>
      </c>
    </row>
    <row r="190" s="151" customFormat="1" ht="15.95" customHeight="1" spans="1:5">
      <c r="A190" s="170" t="s">
        <v>107</v>
      </c>
      <c r="B190" s="171">
        <v>221</v>
      </c>
      <c r="C190" s="171">
        <v>247</v>
      </c>
      <c r="D190" s="171">
        <v>247</v>
      </c>
      <c r="E190" s="172">
        <f t="shared" si="19"/>
        <v>1.11764705882353</v>
      </c>
    </row>
    <row r="191" s="151" customFormat="1" ht="15.95" hidden="1" customHeight="1" spans="1:5">
      <c r="A191" s="170" t="s">
        <v>108</v>
      </c>
      <c r="B191" s="171">
        <v>0</v>
      </c>
      <c r="C191" s="171"/>
      <c r="D191" s="171"/>
      <c r="E191" s="172"/>
    </row>
    <row r="192" s="151" customFormat="1" ht="15.95" hidden="1" customHeight="1" spans="1:5">
      <c r="A192" s="170" t="s">
        <v>109</v>
      </c>
      <c r="B192" s="171">
        <v>0</v>
      </c>
      <c r="C192" s="171"/>
      <c r="D192" s="171"/>
      <c r="E192" s="172"/>
    </row>
    <row r="193" s="151" customFormat="1" ht="15.95" hidden="1" customHeight="1" spans="1:5">
      <c r="A193" s="170" t="s">
        <v>210</v>
      </c>
      <c r="B193" s="171">
        <v>0</v>
      </c>
      <c r="C193" s="171"/>
      <c r="D193" s="171"/>
      <c r="E193" s="172"/>
    </row>
    <row r="194" s="151" customFormat="1" ht="15.95" customHeight="1" spans="1:5">
      <c r="A194" s="170" t="s">
        <v>211</v>
      </c>
      <c r="B194" s="171">
        <v>3</v>
      </c>
      <c r="C194" s="171"/>
      <c r="D194" s="171"/>
      <c r="E194" s="172">
        <f>D194/B194</f>
        <v>0</v>
      </c>
    </row>
    <row r="195" s="151" customFormat="1" ht="15.95" hidden="1" customHeight="1" spans="1:5">
      <c r="A195" s="170" t="s">
        <v>116</v>
      </c>
      <c r="B195" s="171">
        <v>0</v>
      </c>
      <c r="C195" s="171"/>
      <c r="D195" s="171"/>
      <c r="E195" s="172"/>
    </row>
    <row r="196" s="151" customFormat="1" ht="15.95" customHeight="1" spans="1:5">
      <c r="A196" s="170" t="s">
        <v>212</v>
      </c>
      <c r="B196" s="171">
        <v>18</v>
      </c>
      <c r="C196" s="171"/>
      <c r="D196" s="171"/>
      <c r="E196" s="172">
        <f>D196/B196</f>
        <v>0</v>
      </c>
    </row>
    <row r="197" s="151" customFormat="1" ht="15.95" hidden="1" customHeight="1" spans="1:5">
      <c r="A197" s="169" t="s">
        <v>213</v>
      </c>
      <c r="B197" s="167">
        <v>0</v>
      </c>
      <c r="C197" s="167">
        <v>0</v>
      </c>
      <c r="D197" s="167">
        <v>0</v>
      </c>
      <c r="E197" s="165"/>
    </row>
    <row r="198" s="151" customFormat="1" ht="15.95" hidden="1" customHeight="1" spans="1:5">
      <c r="A198" s="170" t="s">
        <v>107</v>
      </c>
      <c r="B198" s="171"/>
      <c r="C198" s="171"/>
      <c r="D198" s="171"/>
      <c r="E198" s="165"/>
    </row>
    <row r="199" s="151" customFormat="1" ht="15.95" hidden="1" customHeight="1" spans="1:5">
      <c r="A199" s="173" t="s">
        <v>108</v>
      </c>
      <c r="B199" s="171"/>
      <c r="C199" s="171"/>
      <c r="D199" s="171"/>
      <c r="E199" s="165"/>
    </row>
    <row r="200" s="151" customFormat="1" ht="15.95" hidden="1" customHeight="1" spans="1:5">
      <c r="A200" s="170" t="s">
        <v>109</v>
      </c>
      <c r="B200" s="171"/>
      <c r="C200" s="171"/>
      <c r="D200" s="171"/>
      <c r="E200" s="165"/>
    </row>
    <row r="201" s="151" customFormat="1" ht="15.95" hidden="1" customHeight="1" spans="1:5">
      <c r="A201" s="170" t="s">
        <v>116</v>
      </c>
      <c r="B201" s="171"/>
      <c r="C201" s="171"/>
      <c r="D201" s="171"/>
      <c r="E201" s="165"/>
    </row>
    <row r="202" s="151" customFormat="1" ht="15.95" hidden="1" customHeight="1" spans="1:5">
      <c r="A202" s="170" t="s">
        <v>214</v>
      </c>
      <c r="B202" s="171"/>
      <c r="C202" s="171"/>
      <c r="D202" s="171"/>
      <c r="E202" s="165"/>
    </row>
    <row r="203" s="151" customFormat="1" ht="15.95" customHeight="1" spans="1:5">
      <c r="A203" s="169" t="s">
        <v>215</v>
      </c>
      <c r="B203" s="167">
        <v>224</v>
      </c>
      <c r="C203" s="167">
        <v>119</v>
      </c>
      <c r="D203" s="167">
        <f>D204</f>
        <v>117</v>
      </c>
      <c r="E203" s="165">
        <f t="shared" ref="E203:E208" si="20">D203/B203</f>
        <v>0.522321428571429</v>
      </c>
    </row>
    <row r="204" s="151" customFormat="1" ht="15.95" customHeight="1" spans="1:5">
      <c r="A204" s="170" t="s">
        <v>107</v>
      </c>
      <c r="B204" s="171">
        <v>97</v>
      </c>
      <c r="C204" s="171">
        <v>119</v>
      </c>
      <c r="D204" s="171">
        <f>119-2</f>
        <v>117</v>
      </c>
      <c r="E204" s="172">
        <f t="shared" si="20"/>
        <v>1.20618556701031</v>
      </c>
    </row>
    <row r="205" s="151" customFormat="1" ht="15.95" hidden="1" customHeight="1" spans="1:5">
      <c r="A205" s="170" t="s">
        <v>108</v>
      </c>
      <c r="B205" s="171">
        <v>0</v>
      </c>
      <c r="C205" s="171"/>
      <c r="D205" s="171"/>
      <c r="E205" s="172"/>
    </row>
    <row r="206" s="151" customFormat="1" ht="15.95" hidden="1" customHeight="1" spans="1:5">
      <c r="A206" s="170" t="s">
        <v>109</v>
      </c>
      <c r="B206" s="171">
        <v>0</v>
      </c>
      <c r="C206" s="171"/>
      <c r="D206" s="171"/>
      <c r="E206" s="172"/>
    </row>
    <row r="207" s="151" customFormat="1" ht="15.95" hidden="1" customHeight="1" spans="1:5">
      <c r="A207" s="170" t="s">
        <v>116</v>
      </c>
      <c r="B207" s="171">
        <v>0</v>
      </c>
      <c r="C207" s="171"/>
      <c r="D207" s="171"/>
      <c r="E207" s="172"/>
    </row>
    <row r="208" s="151" customFormat="1" ht="15.95" customHeight="1" spans="1:5">
      <c r="A208" s="170" t="s">
        <v>216</v>
      </c>
      <c r="B208" s="171">
        <v>127</v>
      </c>
      <c r="C208" s="171"/>
      <c r="D208" s="171"/>
      <c r="E208" s="172">
        <f t="shared" si="20"/>
        <v>0</v>
      </c>
    </row>
    <row r="209" s="151" customFormat="1" ht="15.95" hidden="1" customHeight="1" spans="1:5">
      <c r="A209" s="169" t="s">
        <v>217</v>
      </c>
      <c r="B209" s="167">
        <v>0</v>
      </c>
      <c r="C209" s="167">
        <v>0</v>
      </c>
      <c r="D209" s="167">
        <v>0</v>
      </c>
      <c r="E209" s="165"/>
    </row>
    <row r="210" s="151" customFormat="1" ht="15.95" hidden="1" customHeight="1" spans="1:5">
      <c r="A210" s="170" t="s">
        <v>107</v>
      </c>
      <c r="B210" s="171"/>
      <c r="C210" s="171"/>
      <c r="D210" s="171"/>
      <c r="E210" s="165"/>
    </row>
    <row r="211" s="151" customFormat="1" ht="15.95" hidden="1" customHeight="1" spans="1:5">
      <c r="A211" s="170" t="s">
        <v>108</v>
      </c>
      <c r="B211" s="171"/>
      <c r="C211" s="171"/>
      <c r="D211" s="171"/>
      <c r="E211" s="165"/>
    </row>
    <row r="212" s="151" customFormat="1" ht="15.95" hidden="1" customHeight="1" spans="1:5">
      <c r="A212" s="170" t="s">
        <v>109</v>
      </c>
      <c r="B212" s="171"/>
      <c r="C212" s="171"/>
      <c r="D212" s="171"/>
      <c r="E212" s="165"/>
    </row>
    <row r="213" s="151" customFormat="1" ht="15.95" hidden="1" customHeight="1" spans="1:5">
      <c r="A213" s="170" t="s">
        <v>218</v>
      </c>
      <c r="B213" s="171"/>
      <c r="C213" s="171"/>
      <c r="D213" s="171"/>
      <c r="E213" s="165"/>
    </row>
    <row r="214" s="151" customFormat="1" ht="15.95" hidden="1" customHeight="1" spans="1:5">
      <c r="A214" s="170" t="s">
        <v>116</v>
      </c>
      <c r="B214" s="171"/>
      <c r="C214" s="171"/>
      <c r="D214" s="171"/>
      <c r="E214" s="165"/>
    </row>
    <row r="215" s="151" customFormat="1" ht="15.95" hidden="1" customHeight="1" spans="1:5">
      <c r="A215" s="170" t="s">
        <v>219</v>
      </c>
      <c r="B215" s="171"/>
      <c r="C215" s="171"/>
      <c r="D215" s="171"/>
      <c r="E215" s="165"/>
    </row>
    <row r="216" s="151" customFormat="1" ht="15.95" customHeight="1" spans="1:5">
      <c r="A216" s="169" t="s">
        <v>220</v>
      </c>
      <c r="B216" s="167">
        <v>2368</v>
      </c>
      <c r="C216" s="167">
        <v>2100</v>
      </c>
      <c r="D216" s="167">
        <f>SUM(D217:D230)</f>
        <v>2053</v>
      </c>
      <c r="E216" s="165">
        <f t="shared" ref="E216:E220" si="21">D216/B216</f>
        <v>0.866976351351351</v>
      </c>
    </row>
    <row r="217" s="151" customFormat="1" ht="15.95" customHeight="1" spans="1:5">
      <c r="A217" s="170" t="s">
        <v>107</v>
      </c>
      <c r="B217" s="171">
        <v>1936</v>
      </c>
      <c r="C217" s="171">
        <v>2041</v>
      </c>
      <c r="D217" s="171">
        <f>2041-47</f>
        <v>1994</v>
      </c>
      <c r="E217" s="172">
        <f t="shared" si="21"/>
        <v>1.02995867768595</v>
      </c>
    </row>
    <row r="218" s="151" customFormat="1" ht="15.95" hidden="1" customHeight="1" spans="1:5">
      <c r="A218" s="170" t="s">
        <v>108</v>
      </c>
      <c r="B218" s="171">
        <v>0</v>
      </c>
      <c r="C218" s="171"/>
      <c r="D218" s="171"/>
      <c r="E218" s="172"/>
    </row>
    <row r="219" s="151" customFormat="1" ht="15.95" hidden="1" customHeight="1" spans="1:5">
      <c r="A219" s="170" t="s">
        <v>109</v>
      </c>
      <c r="B219" s="171">
        <v>0</v>
      </c>
      <c r="C219" s="171"/>
      <c r="D219" s="171"/>
      <c r="E219" s="172"/>
    </row>
    <row r="220" s="151" customFormat="1" ht="15.95" customHeight="1" spans="1:5">
      <c r="A220" s="170" t="s">
        <v>221</v>
      </c>
      <c r="B220" s="171">
        <v>356</v>
      </c>
      <c r="C220" s="171"/>
      <c r="D220" s="171"/>
      <c r="E220" s="172">
        <f t="shared" si="21"/>
        <v>0</v>
      </c>
    </row>
    <row r="221" s="151" customFormat="1" ht="15.95" hidden="1" customHeight="1" spans="1:5">
      <c r="A221" s="170" t="s">
        <v>222</v>
      </c>
      <c r="B221" s="171">
        <v>0</v>
      </c>
      <c r="C221" s="171"/>
      <c r="D221" s="171"/>
      <c r="E221" s="172"/>
    </row>
    <row r="222" s="151" customFormat="1" ht="15.95" hidden="1" customHeight="1" spans="1:5">
      <c r="A222" s="170" t="s">
        <v>147</v>
      </c>
      <c r="B222" s="171">
        <v>0</v>
      </c>
      <c r="C222" s="171"/>
      <c r="D222" s="171"/>
      <c r="E222" s="172"/>
    </row>
    <row r="223" s="151" customFormat="1" ht="15.95" hidden="1" customHeight="1" spans="1:5">
      <c r="A223" s="170" t="s">
        <v>223</v>
      </c>
      <c r="B223" s="171">
        <v>0</v>
      </c>
      <c r="C223" s="171"/>
      <c r="D223" s="171"/>
      <c r="E223" s="172"/>
    </row>
    <row r="224" s="151" customFormat="1" ht="15.95" customHeight="1" spans="1:5">
      <c r="A224" s="170" t="s">
        <v>224</v>
      </c>
      <c r="B224" s="171">
        <v>5</v>
      </c>
      <c r="C224" s="171">
        <v>25</v>
      </c>
      <c r="D224" s="171">
        <v>25</v>
      </c>
      <c r="E224" s="172">
        <f>D224/B224</f>
        <v>5</v>
      </c>
    </row>
    <row r="225" s="151" customFormat="1" ht="15.95" hidden="1" customHeight="1" spans="1:5">
      <c r="A225" s="170" t="s">
        <v>225</v>
      </c>
      <c r="B225" s="171">
        <v>0</v>
      </c>
      <c r="C225" s="171"/>
      <c r="D225" s="171"/>
      <c r="E225" s="172"/>
    </row>
    <row r="226" s="151" customFormat="1" ht="15.95" hidden="1" customHeight="1" spans="1:5">
      <c r="A226" s="170" t="s">
        <v>226</v>
      </c>
      <c r="B226" s="171">
        <v>0</v>
      </c>
      <c r="C226" s="171"/>
      <c r="D226" s="171"/>
      <c r="E226" s="172"/>
    </row>
    <row r="227" s="151" customFormat="1" ht="15.95" hidden="1" customHeight="1" spans="1:5">
      <c r="A227" s="170" t="s">
        <v>227</v>
      </c>
      <c r="B227" s="171">
        <v>0</v>
      </c>
      <c r="C227" s="171"/>
      <c r="D227" s="171"/>
      <c r="E227" s="172"/>
    </row>
    <row r="228" s="151" customFormat="1" ht="15.95" customHeight="1" spans="1:5">
      <c r="A228" s="170" t="s">
        <v>228</v>
      </c>
      <c r="B228" s="171">
        <v>71</v>
      </c>
      <c r="C228" s="171">
        <v>34</v>
      </c>
      <c r="D228" s="171">
        <v>34</v>
      </c>
      <c r="E228" s="172">
        <f>D228/B228</f>
        <v>0.47887323943662</v>
      </c>
    </row>
    <row r="229" s="151" customFormat="1" ht="15.95" hidden="1" customHeight="1" spans="1:5">
      <c r="A229" s="170" t="s">
        <v>116</v>
      </c>
      <c r="B229" s="171">
        <v>0</v>
      </c>
      <c r="C229" s="171"/>
      <c r="D229" s="171"/>
      <c r="E229" s="165"/>
    </row>
    <row r="230" s="151" customFormat="1" ht="15.95" hidden="1" customHeight="1" spans="1:5">
      <c r="A230" s="170" t="s">
        <v>229</v>
      </c>
      <c r="B230" s="171">
        <v>0</v>
      </c>
      <c r="C230" s="171"/>
      <c r="D230" s="171"/>
      <c r="E230" s="165"/>
    </row>
    <row r="231" s="151" customFormat="1" ht="15.95" hidden="1" customHeight="1" spans="1:5">
      <c r="A231" s="169" t="s">
        <v>230</v>
      </c>
      <c r="B231" s="171"/>
      <c r="C231" s="171"/>
      <c r="D231" s="171"/>
      <c r="E231" s="165"/>
    </row>
    <row r="232" s="151" customFormat="1" ht="15.95" hidden="1" customHeight="1" spans="1:5">
      <c r="A232" s="170" t="s">
        <v>107</v>
      </c>
      <c r="B232" s="171"/>
      <c r="C232" s="171"/>
      <c r="D232" s="171"/>
      <c r="E232" s="165"/>
    </row>
    <row r="233" s="151" customFormat="1" ht="15.95" hidden="1" customHeight="1" spans="1:5">
      <c r="A233" s="170" t="s">
        <v>108</v>
      </c>
      <c r="B233" s="171"/>
      <c r="C233" s="171"/>
      <c r="D233" s="171"/>
      <c r="E233" s="165"/>
    </row>
    <row r="234" s="151" customFormat="1" ht="15.95" hidden="1" customHeight="1" spans="1:5">
      <c r="A234" s="170" t="s">
        <v>109</v>
      </c>
      <c r="B234" s="171"/>
      <c r="C234" s="171"/>
      <c r="D234" s="171"/>
      <c r="E234" s="165"/>
    </row>
    <row r="235" s="151" customFormat="1" ht="15.95" hidden="1" customHeight="1" spans="1:5">
      <c r="A235" s="170" t="s">
        <v>201</v>
      </c>
      <c r="B235" s="171"/>
      <c r="C235" s="171"/>
      <c r="D235" s="171"/>
      <c r="E235" s="165"/>
    </row>
    <row r="236" s="151" customFormat="1" ht="15.95" hidden="1" customHeight="1" spans="1:5">
      <c r="A236" s="170" t="s">
        <v>116</v>
      </c>
      <c r="B236" s="171"/>
      <c r="C236" s="171"/>
      <c r="D236" s="171"/>
      <c r="E236" s="165"/>
    </row>
    <row r="237" s="151" customFormat="1" ht="15.95" hidden="1" customHeight="1" spans="1:5">
      <c r="A237" s="170" t="s">
        <v>231</v>
      </c>
      <c r="B237" s="171"/>
      <c r="C237" s="171"/>
      <c r="D237" s="171"/>
      <c r="E237" s="165"/>
    </row>
    <row r="238" s="151" customFormat="1" ht="15.95" customHeight="1" spans="1:5">
      <c r="A238" s="169" t="s">
        <v>232</v>
      </c>
      <c r="B238" s="171">
        <v>130</v>
      </c>
      <c r="C238" s="174">
        <v>30</v>
      </c>
      <c r="D238" s="174">
        <v>30</v>
      </c>
      <c r="E238" s="165">
        <f>D238/B238</f>
        <v>0.230769230769231</v>
      </c>
    </row>
    <row r="239" s="151" customFormat="1" ht="15.95" hidden="1" customHeight="1" spans="1:5">
      <c r="A239" s="170" t="s">
        <v>107</v>
      </c>
      <c r="B239" s="171"/>
      <c r="C239" s="171"/>
      <c r="D239" s="171"/>
      <c r="E239" s="165"/>
    </row>
    <row r="240" s="151" customFormat="1" ht="15.95" hidden="1" customHeight="1" spans="1:5">
      <c r="A240" s="170" t="s">
        <v>108</v>
      </c>
      <c r="B240" s="171"/>
      <c r="C240" s="171"/>
      <c r="D240" s="171"/>
      <c r="E240" s="165"/>
    </row>
    <row r="241" s="151" customFormat="1" ht="15.95" hidden="1" customHeight="1" spans="1:5">
      <c r="A241" s="170" t="s">
        <v>109</v>
      </c>
      <c r="B241" s="171"/>
      <c r="C241" s="171"/>
      <c r="D241" s="171"/>
      <c r="E241" s="165"/>
    </row>
    <row r="242" s="151" customFormat="1" ht="15.95" customHeight="1" spans="1:5">
      <c r="A242" s="170" t="s">
        <v>233</v>
      </c>
      <c r="B242" s="171">
        <v>130</v>
      </c>
      <c r="C242" s="171">
        <v>30</v>
      </c>
      <c r="D242" s="171">
        <v>30</v>
      </c>
      <c r="E242" s="172">
        <f t="shared" ref="E242:E246" si="22">D242/B242</f>
        <v>0.230769230769231</v>
      </c>
    </row>
    <row r="243" s="151" customFormat="1" ht="15.95" hidden="1" customHeight="1" spans="1:5">
      <c r="A243" s="170" t="s">
        <v>234</v>
      </c>
      <c r="B243" s="171"/>
      <c r="C243" s="171"/>
      <c r="D243" s="171"/>
      <c r="E243" s="165"/>
    </row>
    <row r="244" s="151" customFormat="1" ht="15.95" customHeight="1" spans="1:5">
      <c r="A244" s="169" t="s">
        <v>235</v>
      </c>
      <c r="B244" s="167">
        <v>390</v>
      </c>
      <c r="C244" s="167"/>
      <c r="D244" s="167"/>
      <c r="E244" s="165">
        <f t="shared" si="22"/>
        <v>0</v>
      </c>
    </row>
    <row r="245" s="151" customFormat="1" ht="15.95" customHeight="1" spans="1:5">
      <c r="A245" s="170" t="s">
        <v>236</v>
      </c>
      <c r="B245" s="171">
        <v>19</v>
      </c>
      <c r="C245" s="171"/>
      <c r="D245" s="171"/>
      <c r="E245" s="172">
        <f t="shared" si="22"/>
        <v>0</v>
      </c>
    </row>
    <row r="246" s="151" customFormat="1" ht="15.95" customHeight="1" spans="1:5">
      <c r="A246" s="170" t="s">
        <v>237</v>
      </c>
      <c r="B246" s="171">
        <v>371</v>
      </c>
      <c r="C246" s="171"/>
      <c r="D246" s="171"/>
      <c r="E246" s="172">
        <f t="shared" si="22"/>
        <v>0</v>
      </c>
    </row>
    <row r="247" s="151" customFormat="1" ht="15.95" hidden="1" customHeight="1" spans="1:5">
      <c r="A247" s="166" t="s">
        <v>238</v>
      </c>
      <c r="B247" s="167">
        <v>0</v>
      </c>
      <c r="C247" s="167">
        <v>0</v>
      </c>
      <c r="D247" s="167">
        <v>0</v>
      </c>
      <c r="E247" s="165"/>
    </row>
    <row r="248" s="151" customFormat="1" ht="15.95" hidden="1" customHeight="1" spans="1:5">
      <c r="A248" s="175" t="s">
        <v>239</v>
      </c>
      <c r="B248" s="167"/>
      <c r="C248" s="167"/>
      <c r="D248" s="167"/>
      <c r="E248" s="165"/>
    </row>
    <row r="249" s="151" customFormat="1" ht="15.95" hidden="1" customHeight="1" spans="1:5">
      <c r="A249" s="170" t="s">
        <v>107</v>
      </c>
      <c r="B249" s="167"/>
      <c r="C249" s="167"/>
      <c r="D249" s="167"/>
      <c r="E249" s="165"/>
    </row>
    <row r="250" s="151" customFormat="1" ht="15.95" hidden="1" customHeight="1" spans="1:5">
      <c r="A250" s="170" t="s">
        <v>108</v>
      </c>
      <c r="B250" s="167"/>
      <c r="C250" s="167"/>
      <c r="D250" s="167"/>
      <c r="E250" s="165"/>
    </row>
    <row r="251" s="151" customFormat="1" ht="15.95" hidden="1" customHeight="1" spans="1:5">
      <c r="A251" s="170" t="s">
        <v>109</v>
      </c>
      <c r="B251" s="167"/>
      <c r="C251" s="167"/>
      <c r="D251" s="167"/>
      <c r="E251" s="165"/>
    </row>
    <row r="252" s="151" customFormat="1" ht="15.95" hidden="1" customHeight="1" spans="1:5">
      <c r="A252" s="170" t="s">
        <v>201</v>
      </c>
      <c r="B252" s="167"/>
      <c r="C252" s="167"/>
      <c r="D252" s="167"/>
      <c r="E252" s="165"/>
    </row>
    <row r="253" s="151" customFormat="1" ht="15.95" hidden="1" customHeight="1" spans="1:5">
      <c r="A253" s="170" t="s">
        <v>116</v>
      </c>
      <c r="B253" s="167"/>
      <c r="C253" s="167"/>
      <c r="D253" s="167"/>
      <c r="E253" s="165"/>
    </row>
    <row r="254" s="151" customFormat="1" ht="15.95" hidden="1" customHeight="1" spans="1:5">
      <c r="A254" s="176" t="s">
        <v>240</v>
      </c>
      <c r="B254" s="167"/>
      <c r="C254" s="167"/>
      <c r="D254" s="167"/>
      <c r="E254" s="165"/>
    </row>
    <row r="255" s="151" customFormat="1" ht="15.95" hidden="1" customHeight="1" spans="1:5">
      <c r="A255" s="175" t="s">
        <v>241</v>
      </c>
      <c r="B255" s="167"/>
      <c r="C255" s="167"/>
      <c r="D255" s="167"/>
      <c r="E255" s="165"/>
    </row>
    <row r="256" s="151" customFormat="1" ht="15.95" hidden="1" customHeight="1" spans="1:5">
      <c r="A256" s="170" t="s">
        <v>242</v>
      </c>
      <c r="B256" s="167"/>
      <c r="C256" s="167"/>
      <c r="D256" s="167"/>
      <c r="E256" s="165"/>
    </row>
    <row r="257" s="151" customFormat="1" ht="15.95" hidden="1" customHeight="1" spans="1:5">
      <c r="A257" s="176" t="s">
        <v>243</v>
      </c>
      <c r="B257" s="167"/>
      <c r="C257" s="167"/>
      <c r="D257" s="167"/>
      <c r="E257" s="165"/>
    </row>
    <row r="258" s="151" customFormat="1" ht="15.95" hidden="1" customHeight="1" spans="1:5">
      <c r="A258" s="175" t="s">
        <v>244</v>
      </c>
      <c r="B258" s="167"/>
      <c r="C258" s="167"/>
      <c r="D258" s="167"/>
      <c r="E258" s="165"/>
    </row>
    <row r="259" s="151" customFormat="1" ht="15.95" hidden="1" customHeight="1" spans="1:5">
      <c r="A259" s="170" t="s">
        <v>245</v>
      </c>
      <c r="B259" s="167"/>
      <c r="C259" s="167"/>
      <c r="D259" s="167"/>
      <c r="E259" s="165"/>
    </row>
    <row r="260" s="151" customFormat="1" ht="15.95" hidden="1" customHeight="1" spans="1:5">
      <c r="A260" s="176" t="s">
        <v>246</v>
      </c>
      <c r="B260" s="167"/>
      <c r="C260" s="167"/>
      <c r="D260" s="167"/>
      <c r="E260" s="165"/>
    </row>
    <row r="261" s="151" customFormat="1" ht="15.95" hidden="1" customHeight="1" spans="1:5">
      <c r="A261" s="175" t="s">
        <v>247</v>
      </c>
      <c r="B261" s="167"/>
      <c r="C261" s="167"/>
      <c r="D261" s="167"/>
      <c r="E261" s="165"/>
    </row>
    <row r="262" s="151" customFormat="1" ht="15.95" hidden="1" customHeight="1" spans="1:5">
      <c r="A262" s="170" t="s">
        <v>248</v>
      </c>
      <c r="B262" s="167"/>
      <c r="C262" s="167"/>
      <c r="D262" s="167"/>
      <c r="E262" s="165"/>
    </row>
    <row r="263" s="151" customFormat="1" ht="15.95" hidden="1" customHeight="1" spans="1:5">
      <c r="A263" s="176" t="s">
        <v>249</v>
      </c>
      <c r="B263" s="167"/>
      <c r="C263" s="167"/>
      <c r="D263" s="167"/>
      <c r="E263" s="165"/>
    </row>
    <row r="264" s="151" customFormat="1" ht="15.95" hidden="1" customHeight="1" spans="1:5">
      <c r="A264" s="176" t="s">
        <v>250</v>
      </c>
      <c r="B264" s="167"/>
      <c r="C264" s="167"/>
      <c r="D264" s="167"/>
      <c r="E264" s="165"/>
    </row>
    <row r="265" s="151" customFormat="1" ht="15.95" hidden="1" customHeight="1" spans="1:5">
      <c r="A265" s="176" t="s">
        <v>251</v>
      </c>
      <c r="B265" s="167"/>
      <c r="C265" s="167"/>
      <c r="D265" s="167"/>
      <c r="E265" s="165"/>
    </row>
    <row r="266" s="151" customFormat="1" ht="15.95" hidden="1" customHeight="1" spans="1:5">
      <c r="A266" s="176" t="s">
        <v>252</v>
      </c>
      <c r="B266" s="167"/>
      <c r="C266" s="167"/>
      <c r="D266" s="167"/>
      <c r="E266" s="165"/>
    </row>
    <row r="267" s="151" customFormat="1" ht="15.95" hidden="1" customHeight="1" spans="1:5">
      <c r="A267" s="175" t="s">
        <v>253</v>
      </c>
      <c r="B267" s="174">
        <v>0</v>
      </c>
      <c r="C267" s="171">
        <v>0</v>
      </c>
      <c r="D267" s="171">
        <v>0</v>
      </c>
      <c r="E267" s="165"/>
    </row>
    <row r="268" s="151" customFormat="1" ht="15.95" hidden="1" customHeight="1" spans="1:5">
      <c r="A268" s="170" t="s">
        <v>254</v>
      </c>
      <c r="B268" s="174"/>
      <c r="C268" s="171"/>
      <c r="D268" s="171"/>
      <c r="E268" s="165"/>
    </row>
    <row r="269" s="151" customFormat="1" ht="15.95" hidden="1" customHeight="1" spans="1:5">
      <c r="A269" s="170" t="s">
        <v>255</v>
      </c>
      <c r="B269" s="174"/>
      <c r="C269" s="171"/>
      <c r="D269" s="171"/>
      <c r="E269" s="165"/>
    </row>
    <row r="270" s="151" customFormat="1" ht="15.95" hidden="1" customHeight="1" spans="1:5">
      <c r="A270" s="176" t="s">
        <v>256</v>
      </c>
      <c r="B270" s="167"/>
      <c r="C270" s="167"/>
      <c r="D270" s="167"/>
      <c r="E270" s="165"/>
    </row>
    <row r="271" s="151" customFormat="1" ht="15.95" hidden="1" customHeight="1" spans="1:5">
      <c r="A271" s="177" t="s">
        <v>257</v>
      </c>
      <c r="B271" s="167"/>
      <c r="C271" s="167"/>
      <c r="D271" s="167"/>
      <c r="E271" s="165"/>
    </row>
    <row r="272" s="151" customFormat="1" ht="15.95" hidden="1" customHeight="1" spans="1:5">
      <c r="A272" s="175" t="s">
        <v>258</v>
      </c>
      <c r="B272" s="171">
        <v>0</v>
      </c>
      <c r="C272" s="171">
        <v>0</v>
      </c>
      <c r="D272" s="171">
        <v>0</v>
      </c>
      <c r="E272" s="165"/>
    </row>
    <row r="273" s="151" customFormat="1" ht="15.95" hidden="1" customHeight="1" spans="1:5">
      <c r="A273" s="170" t="s">
        <v>259</v>
      </c>
      <c r="B273" s="171"/>
      <c r="C273" s="171"/>
      <c r="D273" s="171"/>
      <c r="E273" s="165"/>
    </row>
    <row r="274" s="151" customFormat="1" ht="15.95" hidden="1" customHeight="1" spans="1:5">
      <c r="A274" s="175" t="s">
        <v>260</v>
      </c>
      <c r="B274" s="171"/>
      <c r="C274" s="171"/>
      <c r="D274" s="171"/>
      <c r="E274" s="165"/>
    </row>
    <row r="275" s="151" customFormat="1" ht="15.95" hidden="1" customHeight="1" spans="1:5">
      <c r="A275" s="170" t="s">
        <v>261</v>
      </c>
      <c r="B275" s="171"/>
      <c r="C275" s="171"/>
      <c r="D275" s="171"/>
      <c r="E275" s="165"/>
    </row>
    <row r="276" s="151" customFormat="1" ht="15.95" hidden="1" customHeight="1" spans="1:5">
      <c r="A276" s="170" t="s">
        <v>262</v>
      </c>
      <c r="B276" s="171"/>
      <c r="C276" s="171"/>
      <c r="D276" s="171"/>
      <c r="E276" s="165"/>
    </row>
    <row r="277" s="151" customFormat="1" ht="15.95" hidden="1" customHeight="1" spans="1:5">
      <c r="A277" s="170" t="s">
        <v>263</v>
      </c>
      <c r="B277" s="171"/>
      <c r="C277" s="171"/>
      <c r="D277" s="171"/>
      <c r="E277" s="165"/>
    </row>
    <row r="278" s="151" customFormat="1" ht="15.95" hidden="1" customHeight="1" spans="1:5">
      <c r="A278" s="170" t="s">
        <v>264</v>
      </c>
      <c r="B278" s="171"/>
      <c r="C278" s="171"/>
      <c r="D278" s="171"/>
      <c r="E278" s="165"/>
    </row>
    <row r="279" s="151" customFormat="1" ht="15.95" hidden="1" customHeight="1" spans="1:5">
      <c r="A279" s="175" t="s">
        <v>265</v>
      </c>
      <c r="B279" s="171"/>
      <c r="C279" s="171"/>
      <c r="D279" s="171"/>
      <c r="E279" s="165"/>
    </row>
    <row r="280" s="151" customFormat="1" ht="15.95" hidden="1" customHeight="1" spans="1:5">
      <c r="A280" s="170" t="s">
        <v>107</v>
      </c>
      <c r="B280" s="171"/>
      <c r="C280" s="171"/>
      <c r="D280" s="171"/>
      <c r="E280" s="165"/>
    </row>
    <row r="281" s="151" customFormat="1" ht="15.95" hidden="1" customHeight="1" spans="1:5">
      <c r="A281" s="170" t="s">
        <v>108</v>
      </c>
      <c r="B281" s="171"/>
      <c r="C281" s="171"/>
      <c r="D281" s="171"/>
      <c r="E281" s="165"/>
    </row>
    <row r="282" s="151" customFormat="1" ht="15.95" hidden="1" customHeight="1" spans="1:5">
      <c r="A282" s="170" t="s">
        <v>109</v>
      </c>
      <c r="B282" s="171"/>
      <c r="C282" s="171"/>
      <c r="D282" s="171"/>
      <c r="E282" s="165"/>
    </row>
    <row r="283" s="151" customFormat="1" ht="15.95" hidden="1" customHeight="1" spans="1:5">
      <c r="A283" s="170" t="s">
        <v>116</v>
      </c>
      <c r="B283" s="171"/>
      <c r="C283" s="171"/>
      <c r="D283" s="171"/>
      <c r="E283" s="165"/>
    </row>
    <row r="284" s="151" customFormat="1" ht="15.95" hidden="1" customHeight="1" spans="1:5">
      <c r="A284" s="170" t="s">
        <v>266</v>
      </c>
      <c r="B284" s="171"/>
      <c r="C284" s="171"/>
      <c r="D284" s="171"/>
      <c r="E284" s="165"/>
    </row>
    <row r="285" s="151" customFormat="1" ht="15.95" hidden="1" customHeight="1" spans="1:5">
      <c r="A285" s="175" t="s">
        <v>267</v>
      </c>
      <c r="B285" s="171">
        <v>0</v>
      </c>
      <c r="C285" s="171">
        <v>0</v>
      </c>
      <c r="D285" s="171">
        <v>0</v>
      </c>
      <c r="E285" s="165"/>
    </row>
    <row r="286" s="151" customFormat="1" ht="15.95" hidden="1" customHeight="1" spans="1:5">
      <c r="A286" s="170" t="s">
        <v>268</v>
      </c>
      <c r="B286" s="171"/>
      <c r="C286" s="171"/>
      <c r="D286" s="171"/>
      <c r="E286" s="165"/>
    </row>
    <row r="287" s="151" customFormat="1" ht="15.95" customHeight="1" spans="1:5">
      <c r="A287" s="175" t="s">
        <v>269</v>
      </c>
      <c r="B287" s="174">
        <v>453</v>
      </c>
      <c r="C287" s="174">
        <f>C288+C292+C294+C296+C304</f>
        <v>213</v>
      </c>
      <c r="D287" s="174">
        <f>D288+D292+D294+D296+D304</f>
        <v>213</v>
      </c>
      <c r="E287" s="165">
        <f>D287/B287</f>
        <v>0.470198675496689</v>
      </c>
    </row>
    <row r="288" s="151" customFormat="1" ht="15.95" hidden="1" customHeight="1" spans="1:5">
      <c r="A288" s="175" t="s">
        <v>270</v>
      </c>
      <c r="B288" s="171">
        <v>0</v>
      </c>
      <c r="C288" s="171">
        <v>0</v>
      </c>
      <c r="D288" s="171">
        <v>0</v>
      </c>
      <c r="E288" s="165"/>
    </row>
    <row r="289" s="151" customFormat="1" ht="15.95" hidden="1" customHeight="1" spans="1:5">
      <c r="A289" s="170" t="s">
        <v>271</v>
      </c>
      <c r="B289" s="171"/>
      <c r="C289" s="171"/>
      <c r="D289" s="171"/>
      <c r="E289" s="165"/>
    </row>
    <row r="290" s="151" customFormat="1" ht="15.95" hidden="1" customHeight="1" spans="1:5">
      <c r="A290" s="170" t="s">
        <v>272</v>
      </c>
      <c r="B290" s="174"/>
      <c r="C290" s="171"/>
      <c r="D290" s="171"/>
      <c r="E290" s="165"/>
    </row>
    <row r="291" s="151" customFormat="1" ht="15.95" hidden="1" customHeight="1" spans="1:5">
      <c r="A291" s="176" t="s">
        <v>273</v>
      </c>
      <c r="B291" s="167"/>
      <c r="C291" s="167"/>
      <c r="D291" s="167"/>
      <c r="E291" s="165"/>
    </row>
    <row r="292" s="151" customFormat="1" ht="15.95" hidden="1" customHeight="1" spans="1:5">
      <c r="A292" s="169" t="s">
        <v>274</v>
      </c>
      <c r="B292" s="178">
        <v>0</v>
      </c>
      <c r="C292" s="178">
        <v>0</v>
      </c>
      <c r="D292" s="178">
        <v>0</v>
      </c>
      <c r="E292" s="165"/>
    </row>
    <row r="293" s="151" customFormat="1" ht="15.95" hidden="1" customHeight="1" spans="1:5">
      <c r="A293" s="170" t="s">
        <v>275</v>
      </c>
      <c r="B293" s="171"/>
      <c r="C293" s="171"/>
      <c r="D293" s="171"/>
      <c r="E293" s="165"/>
    </row>
    <row r="294" s="151" customFormat="1" ht="15.95" hidden="1" customHeight="1" spans="1:5">
      <c r="A294" s="175" t="s">
        <v>276</v>
      </c>
      <c r="B294" s="171">
        <v>0</v>
      </c>
      <c r="C294" s="171">
        <v>0</v>
      </c>
      <c r="D294" s="171">
        <v>0</v>
      </c>
      <c r="E294" s="165"/>
    </row>
    <row r="295" s="151" customFormat="1" ht="15.95" hidden="1" customHeight="1" spans="1:5">
      <c r="A295" s="177" t="s">
        <v>277</v>
      </c>
      <c r="B295" s="167"/>
      <c r="C295" s="167"/>
      <c r="D295" s="167"/>
      <c r="E295" s="165"/>
    </row>
    <row r="296" s="151" customFormat="1" ht="15.95" customHeight="1" spans="1:5">
      <c r="A296" s="175" t="s">
        <v>278</v>
      </c>
      <c r="B296" s="174">
        <v>453</v>
      </c>
      <c r="C296" s="174">
        <v>213</v>
      </c>
      <c r="D296" s="174">
        <v>213</v>
      </c>
      <c r="E296" s="165">
        <f t="shared" ref="E296:E302" si="23">D296/B296</f>
        <v>0.470198675496689</v>
      </c>
    </row>
    <row r="297" s="151" customFormat="1" ht="15.95" hidden="1" customHeight="1" spans="1:5">
      <c r="A297" s="170" t="s">
        <v>279</v>
      </c>
      <c r="B297" s="171"/>
      <c r="C297" s="171"/>
      <c r="D297" s="171"/>
      <c r="E297" s="165"/>
    </row>
    <row r="298" s="151" customFormat="1" ht="15.95" hidden="1" customHeight="1" spans="1:5">
      <c r="A298" s="170" t="s">
        <v>280</v>
      </c>
      <c r="B298" s="171"/>
      <c r="C298" s="171"/>
      <c r="D298" s="171"/>
      <c r="E298" s="165"/>
    </row>
    <row r="299" s="151" customFormat="1" ht="15.95" customHeight="1" spans="1:5">
      <c r="A299" s="170" t="s">
        <v>281</v>
      </c>
      <c r="B299" s="171">
        <v>4</v>
      </c>
      <c r="C299" s="171"/>
      <c r="D299" s="171"/>
      <c r="E299" s="172">
        <f t="shared" si="23"/>
        <v>0</v>
      </c>
    </row>
    <row r="300" s="151" customFormat="1" ht="15.95" hidden="1" customHeight="1" spans="1:5">
      <c r="A300" s="170" t="s">
        <v>282</v>
      </c>
      <c r="B300" s="171">
        <v>0</v>
      </c>
      <c r="C300" s="171"/>
      <c r="D300" s="171"/>
      <c r="E300" s="172"/>
    </row>
    <row r="301" s="151" customFormat="1" ht="15.95" customHeight="1" spans="1:5">
      <c r="A301" s="170" t="s">
        <v>283</v>
      </c>
      <c r="B301" s="171">
        <v>426</v>
      </c>
      <c r="C301" s="171">
        <v>172</v>
      </c>
      <c r="D301" s="171">
        <v>172</v>
      </c>
      <c r="E301" s="172">
        <f t="shared" si="23"/>
        <v>0.403755868544601</v>
      </c>
    </row>
    <row r="302" s="151" customFormat="1" ht="15.95" customHeight="1" spans="1:5">
      <c r="A302" s="170" t="s">
        <v>284</v>
      </c>
      <c r="B302" s="171">
        <v>23</v>
      </c>
      <c r="C302" s="171">
        <v>41</v>
      </c>
      <c r="D302" s="171">
        <v>41</v>
      </c>
      <c r="E302" s="172">
        <f t="shared" si="23"/>
        <v>1.78260869565217</v>
      </c>
    </row>
    <row r="303" s="151" customFormat="1" ht="15.95" hidden="1" customHeight="1" spans="1:5">
      <c r="A303" s="170" t="s">
        <v>285</v>
      </c>
      <c r="B303" s="171"/>
      <c r="C303" s="171"/>
      <c r="D303" s="171"/>
      <c r="E303" s="165"/>
    </row>
    <row r="304" s="151" customFormat="1" ht="15.95" hidden="1" customHeight="1" spans="1:5">
      <c r="A304" s="175" t="s">
        <v>286</v>
      </c>
      <c r="B304" s="174"/>
      <c r="C304" s="174">
        <v>0</v>
      </c>
      <c r="D304" s="174">
        <v>0</v>
      </c>
      <c r="E304" s="165"/>
    </row>
    <row r="305" s="151" customFormat="1" ht="15.95" hidden="1" customHeight="1" spans="1:5">
      <c r="A305" s="170" t="s">
        <v>287</v>
      </c>
      <c r="B305" s="171"/>
      <c r="C305" s="171"/>
      <c r="D305" s="171"/>
      <c r="E305" s="165"/>
    </row>
    <row r="306" s="151" customFormat="1" ht="15.95" customHeight="1" spans="1:5">
      <c r="A306" s="169" t="s">
        <v>288</v>
      </c>
      <c r="B306" s="167">
        <v>12871</v>
      </c>
      <c r="C306" s="167">
        <f>C307+C310+C321+C328+C336+C345+C359+C369+C379+C387+C393</f>
        <v>19404</v>
      </c>
      <c r="D306" s="167">
        <f>D307+D310+D321+D328+D336+D345+D359+D369+D379+D387+D393</f>
        <v>19382</v>
      </c>
      <c r="E306" s="165">
        <f t="shared" ref="E306:E311" si="24">D306/B306</f>
        <v>1.50586590008546</v>
      </c>
    </row>
    <row r="307" s="151" customFormat="1" ht="15.95" customHeight="1" spans="1:5">
      <c r="A307" s="175" t="s">
        <v>289</v>
      </c>
      <c r="B307" s="174">
        <v>0</v>
      </c>
      <c r="C307" s="174">
        <v>4000</v>
      </c>
      <c r="D307" s="174">
        <v>4000</v>
      </c>
      <c r="E307" s="165"/>
    </row>
    <row r="308" s="151" customFormat="1" ht="15.95" hidden="1" customHeight="1" spans="1:5">
      <c r="A308" s="170" t="s">
        <v>290</v>
      </c>
      <c r="B308" s="171"/>
      <c r="C308" s="171"/>
      <c r="D308" s="171"/>
      <c r="E308" s="165"/>
    </row>
    <row r="309" s="151" customFormat="1" ht="15.95" customHeight="1" spans="1:5">
      <c r="A309" s="170" t="s">
        <v>291</v>
      </c>
      <c r="B309" s="171"/>
      <c r="C309" s="171">
        <v>4000</v>
      </c>
      <c r="D309" s="171">
        <f>4000-4000</f>
        <v>0</v>
      </c>
      <c r="E309" s="165"/>
    </row>
    <row r="310" s="151" customFormat="1" ht="15.95" customHeight="1" spans="1:5">
      <c r="A310" s="175" t="s">
        <v>292</v>
      </c>
      <c r="B310" s="174">
        <v>11637</v>
      </c>
      <c r="C310" s="174">
        <v>14106</v>
      </c>
      <c r="D310" s="174">
        <v>14106</v>
      </c>
      <c r="E310" s="165">
        <f t="shared" si="24"/>
        <v>1.21216808455788</v>
      </c>
    </row>
    <row r="311" s="151" customFormat="1" ht="15.95" customHeight="1" spans="1:5">
      <c r="A311" s="170" t="s">
        <v>107</v>
      </c>
      <c r="B311" s="171">
        <v>7648</v>
      </c>
      <c r="C311" s="171">
        <v>8007</v>
      </c>
      <c r="D311" s="171">
        <v>8007</v>
      </c>
      <c r="E311" s="172">
        <f t="shared" si="24"/>
        <v>1.04694037656904</v>
      </c>
    </row>
    <row r="312" s="151" customFormat="1" ht="15.95" hidden="1" customHeight="1" spans="1:5">
      <c r="A312" s="173" t="s">
        <v>108</v>
      </c>
      <c r="B312" s="171">
        <v>0</v>
      </c>
      <c r="C312" s="171"/>
      <c r="D312" s="171"/>
      <c r="E312" s="172"/>
    </row>
    <row r="313" s="151" customFormat="1" ht="15.95" hidden="1" customHeight="1" spans="1:5">
      <c r="A313" s="177" t="s">
        <v>109</v>
      </c>
      <c r="B313" s="178">
        <v>0</v>
      </c>
      <c r="C313" s="178"/>
      <c r="D313" s="178"/>
      <c r="E313" s="172"/>
    </row>
    <row r="314" s="151" customFormat="1" ht="15.95" hidden="1" customHeight="1" spans="1:5">
      <c r="A314" s="170" t="s">
        <v>147</v>
      </c>
      <c r="B314" s="171">
        <v>0</v>
      </c>
      <c r="C314" s="171"/>
      <c r="D314" s="171"/>
      <c r="E314" s="172"/>
    </row>
    <row r="315" s="151" customFormat="1" ht="15.95" customHeight="1" spans="1:5">
      <c r="A315" s="170" t="s">
        <v>293</v>
      </c>
      <c r="B315" s="171">
        <v>1103</v>
      </c>
      <c r="C315" s="171">
        <v>4267</v>
      </c>
      <c r="D315" s="171">
        <v>4267</v>
      </c>
      <c r="E315" s="172">
        <f>D315/B315</f>
        <v>3.86854034451496</v>
      </c>
    </row>
    <row r="316" s="151" customFormat="1" ht="15.95" hidden="1" customHeight="1" spans="1:5">
      <c r="A316" s="170" t="s">
        <v>294</v>
      </c>
      <c r="B316" s="171">
        <v>0</v>
      </c>
      <c r="C316" s="171"/>
      <c r="D316" s="171"/>
      <c r="E316" s="172"/>
    </row>
    <row r="317" s="151" customFormat="1" ht="15.95" hidden="1" customHeight="1" spans="1:5">
      <c r="A317" s="170" t="s">
        <v>295</v>
      </c>
      <c r="B317" s="171">
        <v>0</v>
      </c>
      <c r="C317" s="171"/>
      <c r="D317" s="171"/>
      <c r="E317" s="172"/>
    </row>
    <row r="318" s="151" customFormat="1" ht="15.95" hidden="1" customHeight="1" spans="1:5">
      <c r="A318" s="170" t="s">
        <v>296</v>
      </c>
      <c r="B318" s="171">
        <v>0</v>
      </c>
      <c r="C318" s="171"/>
      <c r="D318" s="171"/>
      <c r="E318" s="172"/>
    </row>
    <row r="319" s="151" customFormat="1" ht="15.95" hidden="1" customHeight="1" spans="1:5">
      <c r="A319" s="170" t="s">
        <v>116</v>
      </c>
      <c r="B319" s="171">
        <v>0</v>
      </c>
      <c r="C319" s="171"/>
      <c r="D319" s="171"/>
      <c r="E319" s="172"/>
    </row>
    <row r="320" s="151" customFormat="1" ht="15.95" customHeight="1" spans="1:5">
      <c r="A320" s="170" t="s">
        <v>297</v>
      </c>
      <c r="B320" s="171">
        <v>2886</v>
      </c>
      <c r="C320" s="171">
        <v>1832</v>
      </c>
      <c r="D320" s="171">
        <f>1832+4000</f>
        <v>5832</v>
      </c>
      <c r="E320" s="172">
        <f>D320/B320</f>
        <v>2.02079002079002</v>
      </c>
    </row>
    <row r="321" s="151" customFormat="1" ht="15.95" hidden="1" customHeight="1" spans="1:5">
      <c r="A321" s="166" t="s">
        <v>298</v>
      </c>
      <c r="B321" s="178">
        <v>0</v>
      </c>
      <c r="C321" s="178">
        <v>0</v>
      </c>
      <c r="D321" s="178">
        <v>0</v>
      </c>
      <c r="E321" s="165"/>
    </row>
    <row r="322" s="151" customFormat="1" ht="15.95" hidden="1" customHeight="1" spans="1:5">
      <c r="A322" s="170" t="s">
        <v>107</v>
      </c>
      <c r="B322" s="171"/>
      <c r="C322" s="171"/>
      <c r="D322" s="171"/>
      <c r="E322" s="165"/>
    </row>
    <row r="323" s="151" customFormat="1" ht="15.95" hidden="1" customHeight="1" spans="1:5">
      <c r="A323" s="170" t="s">
        <v>108</v>
      </c>
      <c r="B323" s="171"/>
      <c r="C323" s="171"/>
      <c r="D323" s="171"/>
      <c r="E323" s="165"/>
    </row>
    <row r="324" s="151" customFormat="1" ht="15.95" hidden="1" customHeight="1" spans="1:5">
      <c r="A324" s="170" t="s">
        <v>109</v>
      </c>
      <c r="B324" s="171"/>
      <c r="C324" s="171"/>
      <c r="D324" s="171"/>
      <c r="E324" s="165"/>
    </row>
    <row r="325" s="151" customFormat="1" ht="15.95" hidden="1" customHeight="1" spans="1:5">
      <c r="A325" s="170" t="s">
        <v>299</v>
      </c>
      <c r="B325" s="171"/>
      <c r="C325" s="171"/>
      <c r="D325" s="171"/>
      <c r="E325" s="165"/>
    </row>
    <row r="326" s="151" customFormat="1" ht="15.95" hidden="1" customHeight="1" spans="1:5">
      <c r="A326" s="170" t="s">
        <v>116</v>
      </c>
      <c r="B326" s="171"/>
      <c r="C326" s="171"/>
      <c r="D326" s="171"/>
      <c r="E326" s="165"/>
    </row>
    <row r="327" s="151" customFormat="1" ht="15.95" hidden="1" customHeight="1" spans="1:5">
      <c r="A327" s="170" t="s">
        <v>300</v>
      </c>
      <c r="B327" s="171"/>
      <c r="C327" s="171"/>
      <c r="D327" s="171"/>
      <c r="E327" s="165"/>
    </row>
    <row r="328" s="151" customFormat="1" ht="15.95" hidden="1" customHeight="1" spans="1:5">
      <c r="A328" s="175" t="s">
        <v>301</v>
      </c>
      <c r="B328" s="171">
        <v>0</v>
      </c>
      <c r="C328" s="171">
        <v>0</v>
      </c>
      <c r="D328" s="171">
        <v>0</v>
      </c>
      <c r="E328" s="165"/>
    </row>
    <row r="329" s="151" customFormat="1" ht="15.95" hidden="1" customHeight="1" spans="1:5">
      <c r="A329" s="170" t="s">
        <v>107</v>
      </c>
      <c r="B329" s="171"/>
      <c r="C329" s="171"/>
      <c r="D329" s="171"/>
      <c r="E329" s="165"/>
    </row>
    <row r="330" s="151" customFormat="1" ht="15.95" hidden="1" customHeight="1" spans="1:5">
      <c r="A330" s="177" t="s">
        <v>108</v>
      </c>
      <c r="B330" s="167"/>
      <c r="C330" s="167"/>
      <c r="D330" s="167"/>
      <c r="E330" s="165"/>
    </row>
    <row r="331" s="151" customFormat="1" ht="15.95" hidden="1" customHeight="1" spans="1:5">
      <c r="A331" s="170" t="s">
        <v>109</v>
      </c>
      <c r="B331" s="171"/>
      <c r="C331" s="171"/>
      <c r="D331" s="171"/>
      <c r="E331" s="165"/>
    </row>
    <row r="332" s="151" customFormat="1" ht="15.95" hidden="1" customHeight="1" spans="1:5">
      <c r="A332" s="170" t="s">
        <v>302</v>
      </c>
      <c r="B332" s="171"/>
      <c r="C332" s="171"/>
      <c r="D332" s="171"/>
      <c r="E332" s="165"/>
    </row>
    <row r="333" s="151" customFormat="1" ht="15.95" hidden="1" customHeight="1" spans="1:5">
      <c r="A333" s="170" t="s">
        <v>303</v>
      </c>
      <c r="B333" s="171"/>
      <c r="C333" s="171"/>
      <c r="D333" s="171"/>
      <c r="E333" s="165"/>
    </row>
    <row r="334" s="151" customFormat="1" ht="15.95" hidden="1" customHeight="1" spans="1:5">
      <c r="A334" s="173" t="s">
        <v>116</v>
      </c>
      <c r="B334" s="171"/>
      <c r="C334" s="171"/>
      <c r="D334" s="171"/>
      <c r="E334" s="165"/>
    </row>
    <row r="335" s="151" customFormat="1" ht="15.95" hidden="1" customHeight="1" spans="1:5">
      <c r="A335" s="170" t="s">
        <v>304</v>
      </c>
      <c r="B335" s="171"/>
      <c r="C335" s="171"/>
      <c r="D335" s="171"/>
      <c r="E335" s="165"/>
    </row>
    <row r="336" s="151" customFormat="1" ht="15.95" customHeight="1" spans="1:5">
      <c r="A336" s="175" t="s">
        <v>305</v>
      </c>
      <c r="B336" s="174">
        <f>B344</f>
        <v>20</v>
      </c>
      <c r="C336" s="174">
        <v>0</v>
      </c>
      <c r="D336" s="174">
        <v>0</v>
      </c>
      <c r="E336" s="165"/>
    </row>
    <row r="337" s="151" customFormat="1" ht="15.95" hidden="1" customHeight="1" spans="1:5">
      <c r="A337" s="170" t="s">
        <v>107</v>
      </c>
      <c r="B337" s="171"/>
      <c r="C337" s="171"/>
      <c r="D337" s="171"/>
      <c r="E337" s="165"/>
    </row>
    <row r="338" s="151" customFormat="1" ht="15.95" hidden="1" customHeight="1" spans="1:5">
      <c r="A338" s="170" t="s">
        <v>108</v>
      </c>
      <c r="B338" s="171"/>
      <c r="C338" s="171"/>
      <c r="D338" s="171"/>
      <c r="E338" s="165"/>
    </row>
    <row r="339" s="151" customFormat="1" ht="15.95" hidden="1" customHeight="1" spans="1:5">
      <c r="A339" s="170" t="s">
        <v>109</v>
      </c>
      <c r="B339" s="171"/>
      <c r="C339" s="171"/>
      <c r="D339" s="171"/>
      <c r="E339" s="165"/>
    </row>
    <row r="340" s="151" customFormat="1" ht="15.95" hidden="1" customHeight="1" spans="1:5">
      <c r="A340" s="170" t="s">
        <v>306</v>
      </c>
      <c r="B340" s="171"/>
      <c r="C340" s="171"/>
      <c r="D340" s="171"/>
      <c r="E340" s="165"/>
    </row>
    <row r="341" s="151" customFormat="1" ht="15.95" hidden="1" customHeight="1" spans="1:5">
      <c r="A341" s="170" t="s">
        <v>307</v>
      </c>
      <c r="B341" s="171"/>
      <c r="C341" s="171"/>
      <c r="D341" s="171"/>
      <c r="E341" s="165"/>
    </row>
    <row r="342" s="151" customFormat="1" ht="15.95" hidden="1" customHeight="1" spans="1:5">
      <c r="A342" s="170" t="s">
        <v>308</v>
      </c>
      <c r="B342" s="171"/>
      <c r="C342" s="171"/>
      <c r="D342" s="171"/>
      <c r="E342" s="165"/>
    </row>
    <row r="343" s="151" customFormat="1" ht="15.95" hidden="1" customHeight="1" spans="1:5">
      <c r="A343" s="170" t="s">
        <v>116</v>
      </c>
      <c r="B343" s="171"/>
      <c r="C343" s="171"/>
      <c r="D343" s="171"/>
      <c r="E343" s="165"/>
    </row>
    <row r="344" s="151" customFormat="1" ht="15.95" customHeight="1" spans="1:5">
      <c r="A344" s="177" t="s">
        <v>309</v>
      </c>
      <c r="B344" s="178">
        <v>20</v>
      </c>
      <c r="C344" s="178"/>
      <c r="D344" s="178"/>
      <c r="E344" s="172">
        <f t="shared" ref="E344:E346" si="25">D344/B344</f>
        <v>0</v>
      </c>
    </row>
    <row r="345" s="151" customFormat="1" ht="15.95" customHeight="1" spans="1:5">
      <c r="A345" s="175" t="s">
        <v>310</v>
      </c>
      <c r="B345" s="174">
        <v>891</v>
      </c>
      <c r="C345" s="174">
        <v>1298</v>
      </c>
      <c r="D345" s="174">
        <f>SUM(D346:D358)</f>
        <v>1276</v>
      </c>
      <c r="E345" s="165">
        <f t="shared" si="25"/>
        <v>1.4320987654321</v>
      </c>
    </row>
    <row r="346" s="151" customFormat="1" ht="15.95" customHeight="1" spans="1:5">
      <c r="A346" s="170" t="s">
        <v>107</v>
      </c>
      <c r="B346" s="171">
        <v>668</v>
      </c>
      <c r="C346" s="171">
        <v>673</v>
      </c>
      <c r="D346" s="171">
        <f>673-22</f>
        <v>651</v>
      </c>
      <c r="E346" s="172">
        <f t="shared" si="25"/>
        <v>0.974550898203593</v>
      </c>
    </row>
    <row r="347" s="151" customFormat="1" ht="15.95" hidden="1" customHeight="1" spans="1:5">
      <c r="A347" s="170" t="s">
        <v>108</v>
      </c>
      <c r="B347" s="171">
        <v>0</v>
      </c>
      <c r="C347" s="171"/>
      <c r="D347" s="171"/>
      <c r="E347" s="172"/>
    </row>
    <row r="348" s="151" customFormat="1" ht="15.95" hidden="1" customHeight="1" spans="1:5">
      <c r="A348" s="170" t="s">
        <v>109</v>
      </c>
      <c r="B348" s="171">
        <v>0</v>
      </c>
      <c r="C348" s="171"/>
      <c r="D348" s="171"/>
      <c r="E348" s="172"/>
    </row>
    <row r="349" s="151" customFormat="1" ht="15.95" customHeight="1" spans="1:5">
      <c r="A349" s="173" t="s">
        <v>311</v>
      </c>
      <c r="B349" s="171">
        <v>2</v>
      </c>
      <c r="C349" s="171"/>
      <c r="D349" s="171"/>
      <c r="E349" s="172">
        <f t="shared" ref="E349:E352" si="26">D349/B349</f>
        <v>0</v>
      </c>
    </row>
    <row r="350" s="151" customFormat="1" ht="15.95" hidden="1" customHeight="1" spans="1:5">
      <c r="A350" s="170" t="s">
        <v>312</v>
      </c>
      <c r="B350" s="171">
        <v>0</v>
      </c>
      <c r="C350" s="171"/>
      <c r="D350" s="171"/>
      <c r="E350" s="172"/>
    </row>
    <row r="351" s="151" customFormat="1" ht="15.95" customHeight="1" spans="1:5">
      <c r="A351" s="170" t="s">
        <v>313</v>
      </c>
      <c r="B351" s="171">
        <v>100</v>
      </c>
      <c r="C351" s="171"/>
      <c r="D351" s="171"/>
      <c r="E351" s="172">
        <f t="shared" si="26"/>
        <v>0</v>
      </c>
    </row>
    <row r="352" s="151" customFormat="1" ht="15.95" customHeight="1" spans="1:5">
      <c r="A352" s="170" t="s">
        <v>314</v>
      </c>
      <c r="B352" s="171">
        <v>16</v>
      </c>
      <c r="C352" s="171">
        <v>39</v>
      </c>
      <c r="D352" s="171">
        <v>39</v>
      </c>
      <c r="E352" s="172">
        <f t="shared" si="26"/>
        <v>2.4375</v>
      </c>
    </row>
    <row r="353" s="151" customFormat="1" ht="15.95" hidden="1" customHeight="1" spans="1:5">
      <c r="A353" s="170" t="s">
        <v>315</v>
      </c>
      <c r="B353" s="171">
        <v>0</v>
      </c>
      <c r="C353" s="171"/>
      <c r="D353" s="171"/>
      <c r="E353" s="172"/>
    </row>
    <row r="354" s="151" customFormat="1" ht="15.95" customHeight="1" spans="1:5">
      <c r="A354" s="177" t="s">
        <v>316</v>
      </c>
      <c r="B354" s="178">
        <v>1</v>
      </c>
      <c r="C354" s="178">
        <v>355</v>
      </c>
      <c r="D354" s="178">
        <v>355</v>
      </c>
      <c r="E354" s="172">
        <f t="shared" ref="E354:E358" si="27">D354/B354</f>
        <v>355</v>
      </c>
    </row>
    <row r="355" s="151" customFormat="1" ht="15.95" hidden="1" customHeight="1" spans="1:5">
      <c r="A355" s="170" t="s">
        <v>317</v>
      </c>
      <c r="B355" s="171">
        <v>0</v>
      </c>
      <c r="C355" s="171"/>
      <c r="D355" s="171"/>
      <c r="E355" s="172"/>
    </row>
    <row r="356" s="151" customFormat="1" ht="15.95" customHeight="1" spans="1:5">
      <c r="A356" s="170" t="s">
        <v>147</v>
      </c>
      <c r="B356" s="171">
        <v>2</v>
      </c>
      <c r="C356" s="171"/>
      <c r="D356" s="171"/>
      <c r="E356" s="172">
        <f t="shared" si="27"/>
        <v>0</v>
      </c>
    </row>
    <row r="357" s="151" customFormat="1" ht="15.95" hidden="1" customHeight="1" spans="1:5">
      <c r="A357" s="170" t="s">
        <v>116</v>
      </c>
      <c r="B357" s="171">
        <v>0</v>
      </c>
      <c r="C357" s="171"/>
      <c r="D357" s="171"/>
      <c r="E357" s="172"/>
    </row>
    <row r="358" s="151" customFormat="1" ht="15.95" customHeight="1" spans="1:5">
      <c r="A358" s="170" t="s">
        <v>318</v>
      </c>
      <c r="B358" s="171">
        <v>102</v>
      </c>
      <c r="C358" s="171">
        <v>231</v>
      </c>
      <c r="D358" s="171">
        <v>231</v>
      </c>
      <c r="E358" s="172">
        <f t="shared" si="27"/>
        <v>2.26470588235294</v>
      </c>
    </row>
    <row r="359" s="151" customFormat="1" ht="15.95" hidden="1" customHeight="1" spans="1:5">
      <c r="A359" s="175" t="s">
        <v>319</v>
      </c>
      <c r="B359" s="174"/>
      <c r="C359" s="174">
        <v>0</v>
      </c>
      <c r="D359" s="174">
        <v>0</v>
      </c>
      <c r="E359" s="165"/>
    </row>
    <row r="360" s="151" customFormat="1" ht="15.95" hidden="1" customHeight="1" spans="1:5">
      <c r="A360" s="170" t="s">
        <v>107</v>
      </c>
      <c r="B360" s="171"/>
      <c r="C360" s="171"/>
      <c r="D360" s="171"/>
      <c r="E360" s="165"/>
    </row>
    <row r="361" s="151" customFormat="1" ht="15.95" hidden="1" customHeight="1" spans="1:5">
      <c r="A361" s="170" t="s">
        <v>108</v>
      </c>
      <c r="B361" s="171"/>
      <c r="C361" s="171"/>
      <c r="D361" s="171"/>
      <c r="E361" s="165"/>
    </row>
    <row r="362" s="151" customFormat="1" ht="15.95" hidden="1" customHeight="1" spans="1:5">
      <c r="A362" s="170" t="s">
        <v>109</v>
      </c>
      <c r="B362" s="171"/>
      <c r="C362" s="171"/>
      <c r="D362" s="171"/>
      <c r="E362" s="165"/>
    </row>
    <row r="363" s="151" customFormat="1" ht="15.95" hidden="1" customHeight="1" spans="1:5">
      <c r="A363" s="170" t="s">
        <v>320</v>
      </c>
      <c r="B363" s="171"/>
      <c r="C363" s="171"/>
      <c r="D363" s="171"/>
      <c r="E363" s="165"/>
    </row>
    <row r="364" s="151" customFormat="1" ht="15.95" hidden="1" customHeight="1" spans="1:5">
      <c r="A364" s="176" t="s">
        <v>321</v>
      </c>
      <c r="B364" s="167"/>
      <c r="C364" s="167"/>
      <c r="D364" s="167"/>
      <c r="E364" s="165"/>
    </row>
    <row r="365" s="151" customFormat="1" ht="15.95" hidden="1" customHeight="1" spans="1:5">
      <c r="A365" s="170" t="s">
        <v>322</v>
      </c>
      <c r="B365" s="171"/>
      <c r="C365" s="171"/>
      <c r="D365" s="171"/>
      <c r="E365" s="165"/>
    </row>
    <row r="366" s="151" customFormat="1" ht="15.95" hidden="1" customHeight="1" spans="1:5">
      <c r="A366" s="170" t="s">
        <v>147</v>
      </c>
      <c r="B366" s="171"/>
      <c r="C366" s="171"/>
      <c r="D366" s="171"/>
      <c r="E366" s="165"/>
    </row>
    <row r="367" s="151" customFormat="1" ht="15.95" hidden="1" customHeight="1" spans="1:5">
      <c r="A367" s="170" t="s">
        <v>116</v>
      </c>
      <c r="B367" s="171"/>
      <c r="C367" s="171"/>
      <c r="D367" s="171"/>
      <c r="E367" s="165"/>
    </row>
    <row r="368" s="151" customFormat="1" ht="15.95" hidden="1" customHeight="1" spans="1:5">
      <c r="A368" s="170" t="s">
        <v>323</v>
      </c>
      <c r="B368" s="171"/>
      <c r="C368" s="171"/>
      <c r="D368" s="171"/>
      <c r="E368" s="165"/>
    </row>
    <row r="369" s="151" customFormat="1" ht="15.95" customHeight="1" spans="1:5">
      <c r="A369" s="175" t="s">
        <v>324</v>
      </c>
      <c r="B369" s="174">
        <v>114</v>
      </c>
      <c r="C369" s="174">
        <v>0</v>
      </c>
      <c r="D369" s="174">
        <v>0</v>
      </c>
      <c r="E369" s="165">
        <f>D369/B369</f>
        <v>0</v>
      </c>
    </row>
    <row r="370" s="151" customFormat="1" ht="15.95" hidden="1" customHeight="1" spans="1:5">
      <c r="A370" s="170" t="s">
        <v>107</v>
      </c>
      <c r="B370" s="171">
        <v>0</v>
      </c>
      <c r="C370" s="171"/>
      <c r="D370" s="171"/>
      <c r="E370" s="165"/>
    </row>
    <row r="371" s="151" customFormat="1" ht="15.95" hidden="1" customHeight="1" spans="1:5">
      <c r="A371" s="170" t="s">
        <v>108</v>
      </c>
      <c r="B371" s="171">
        <v>0</v>
      </c>
      <c r="C371" s="171"/>
      <c r="D371" s="171"/>
      <c r="E371" s="165"/>
    </row>
    <row r="372" s="151" customFormat="1" ht="15.95" hidden="1" customHeight="1" spans="1:5">
      <c r="A372" s="177" t="s">
        <v>109</v>
      </c>
      <c r="B372" s="167">
        <v>0</v>
      </c>
      <c r="C372" s="167"/>
      <c r="D372" s="167"/>
      <c r="E372" s="165"/>
    </row>
    <row r="373" s="151" customFormat="1" ht="15.95" hidden="1" customHeight="1" spans="1:5">
      <c r="A373" s="170" t="s">
        <v>325</v>
      </c>
      <c r="B373" s="171">
        <v>0</v>
      </c>
      <c r="C373" s="171"/>
      <c r="D373" s="171"/>
      <c r="E373" s="165"/>
    </row>
    <row r="374" s="151" customFormat="1" ht="15.95" hidden="1" customHeight="1" spans="1:5">
      <c r="A374" s="170" t="s">
        <v>326</v>
      </c>
      <c r="B374" s="171">
        <v>0</v>
      </c>
      <c r="C374" s="171"/>
      <c r="D374" s="171"/>
      <c r="E374" s="165"/>
    </row>
    <row r="375" s="151" customFormat="1" ht="15.95" customHeight="1" spans="1:5">
      <c r="A375" s="170" t="s">
        <v>327</v>
      </c>
      <c r="B375" s="171">
        <v>49</v>
      </c>
      <c r="C375" s="171"/>
      <c r="D375" s="171"/>
      <c r="E375" s="172">
        <f>D375/B375</f>
        <v>0</v>
      </c>
    </row>
    <row r="376" s="151" customFormat="1" ht="15.95" hidden="1" customHeight="1" spans="1:5">
      <c r="A376" s="170" t="s">
        <v>147</v>
      </c>
      <c r="B376" s="171">
        <v>0</v>
      </c>
      <c r="C376" s="171"/>
      <c r="D376" s="171"/>
      <c r="E376" s="165"/>
    </row>
    <row r="377" s="151" customFormat="1" ht="15.95" hidden="1" customHeight="1" spans="1:5">
      <c r="A377" s="170" t="s">
        <v>116</v>
      </c>
      <c r="B377" s="171">
        <v>0</v>
      </c>
      <c r="C377" s="171"/>
      <c r="D377" s="171"/>
      <c r="E377" s="165"/>
    </row>
    <row r="378" s="151" customFormat="1" ht="15.95" customHeight="1" spans="1:5">
      <c r="A378" s="177" t="s">
        <v>328</v>
      </c>
      <c r="B378" s="167">
        <v>65</v>
      </c>
      <c r="C378" s="167"/>
      <c r="D378" s="167"/>
      <c r="E378" s="165">
        <f>D378/B378</f>
        <v>0</v>
      </c>
    </row>
    <row r="379" s="151" customFormat="1" ht="15.95" hidden="1" customHeight="1" spans="1:5">
      <c r="A379" s="175" t="s">
        <v>329</v>
      </c>
      <c r="B379" s="171">
        <v>0</v>
      </c>
      <c r="C379" s="171">
        <v>0</v>
      </c>
      <c r="D379" s="171">
        <v>0</v>
      </c>
      <c r="E379" s="165"/>
    </row>
    <row r="380" s="151" customFormat="1" ht="15.95" hidden="1" customHeight="1" spans="1:5">
      <c r="A380" s="170" t="s">
        <v>107</v>
      </c>
      <c r="B380" s="171"/>
      <c r="C380" s="171"/>
      <c r="D380" s="171"/>
      <c r="E380" s="165"/>
    </row>
    <row r="381" s="151" customFormat="1" ht="15.95" hidden="1" customHeight="1" spans="1:5">
      <c r="A381" s="176" t="s">
        <v>108</v>
      </c>
      <c r="B381" s="167"/>
      <c r="C381" s="167"/>
      <c r="D381" s="167"/>
      <c r="E381" s="165"/>
    </row>
    <row r="382" s="151" customFormat="1" ht="15.95" hidden="1" customHeight="1" spans="1:5">
      <c r="A382" s="177" t="s">
        <v>109</v>
      </c>
      <c r="B382" s="167"/>
      <c r="C382" s="167"/>
      <c r="D382" s="167"/>
      <c r="E382" s="165"/>
    </row>
    <row r="383" s="151" customFormat="1" ht="15.95" hidden="1" customHeight="1" spans="1:5">
      <c r="A383" s="170" t="s">
        <v>330</v>
      </c>
      <c r="B383" s="171"/>
      <c r="C383" s="171"/>
      <c r="D383" s="171"/>
      <c r="E383" s="165"/>
    </row>
    <row r="384" s="151" customFormat="1" ht="15.95" hidden="1" customHeight="1" spans="1:5">
      <c r="A384" s="170" t="s">
        <v>331</v>
      </c>
      <c r="B384" s="171"/>
      <c r="C384" s="171"/>
      <c r="D384" s="171"/>
      <c r="E384" s="165"/>
    </row>
    <row r="385" s="151" customFormat="1" ht="15.95" hidden="1" customHeight="1" spans="1:5">
      <c r="A385" s="170" t="s">
        <v>116</v>
      </c>
      <c r="B385" s="171"/>
      <c r="C385" s="171"/>
      <c r="D385" s="171"/>
      <c r="E385" s="165"/>
    </row>
    <row r="386" s="151" customFormat="1" ht="15.95" hidden="1" customHeight="1" spans="1:5">
      <c r="A386" s="170" t="s">
        <v>332</v>
      </c>
      <c r="B386" s="171"/>
      <c r="C386" s="171"/>
      <c r="D386" s="171"/>
      <c r="E386" s="165"/>
    </row>
    <row r="387" s="151" customFormat="1" ht="15.95" hidden="1" customHeight="1" spans="1:5">
      <c r="A387" s="169" t="s">
        <v>333</v>
      </c>
      <c r="B387" s="167">
        <v>0</v>
      </c>
      <c r="C387" s="167">
        <v>0</v>
      </c>
      <c r="D387" s="167">
        <v>0</v>
      </c>
      <c r="E387" s="165"/>
    </row>
    <row r="388" s="151" customFormat="1" ht="15.95" hidden="1" customHeight="1" spans="1:5">
      <c r="A388" s="170" t="s">
        <v>107</v>
      </c>
      <c r="B388" s="171"/>
      <c r="C388" s="171"/>
      <c r="D388" s="171"/>
      <c r="E388" s="165"/>
    </row>
    <row r="389" s="151" customFormat="1" ht="15.95" hidden="1" customHeight="1" spans="1:5">
      <c r="A389" s="170" t="s">
        <v>108</v>
      </c>
      <c r="B389" s="171"/>
      <c r="C389" s="171"/>
      <c r="D389" s="171"/>
      <c r="E389" s="165"/>
    </row>
    <row r="390" s="151" customFormat="1" ht="15.95" hidden="1" customHeight="1" spans="1:5">
      <c r="A390" s="170" t="s">
        <v>147</v>
      </c>
      <c r="B390" s="171"/>
      <c r="C390" s="171"/>
      <c r="D390" s="171"/>
      <c r="E390" s="165"/>
    </row>
    <row r="391" s="151" customFormat="1" ht="15.95" hidden="1" customHeight="1" spans="1:5">
      <c r="A391" s="170" t="s">
        <v>334</v>
      </c>
      <c r="B391" s="171"/>
      <c r="C391" s="171"/>
      <c r="D391" s="171"/>
      <c r="E391" s="165"/>
    </row>
    <row r="392" s="151" customFormat="1" ht="15.95" hidden="1" customHeight="1" spans="1:5">
      <c r="A392" s="170" t="s">
        <v>335</v>
      </c>
      <c r="B392" s="171"/>
      <c r="C392" s="171"/>
      <c r="D392" s="171"/>
      <c r="E392" s="165"/>
    </row>
    <row r="393" s="151" customFormat="1" ht="15.95" customHeight="1" spans="1:5">
      <c r="A393" s="175" t="s">
        <v>336</v>
      </c>
      <c r="B393" s="174">
        <v>229</v>
      </c>
      <c r="C393" s="174">
        <v>0</v>
      </c>
      <c r="D393" s="174">
        <v>0</v>
      </c>
      <c r="E393" s="165">
        <f t="shared" ref="E393:E398" si="28">D393/B393</f>
        <v>0</v>
      </c>
    </row>
    <row r="394" s="151" customFormat="1" ht="15.95" hidden="1" customHeight="1" spans="1:5">
      <c r="A394" s="177" t="s">
        <v>337</v>
      </c>
      <c r="B394" s="167">
        <v>0</v>
      </c>
      <c r="C394" s="167"/>
      <c r="D394" s="167"/>
      <c r="E394" s="165"/>
    </row>
    <row r="395" s="151" customFormat="1" ht="15.95" customHeight="1" spans="1:5">
      <c r="A395" s="170" t="s">
        <v>338</v>
      </c>
      <c r="B395" s="171">
        <v>229</v>
      </c>
      <c r="C395" s="171"/>
      <c r="D395" s="171"/>
      <c r="E395" s="172">
        <f t="shared" si="28"/>
        <v>0</v>
      </c>
    </row>
    <row r="396" s="151" customFormat="1" ht="15.95" customHeight="1" spans="1:5">
      <c r="A396" s="175" t="s">
        <v>339</v>
      </c>
      <c r="B396" s="174">
        <v>108590</v>
      </c>
      <c r="C396" s="174">
        <f>C397+C402+C409+C415+C421+C425+C429+C433+C439+C446</f>
        <v>113908</v>
      </c>
      <c r="D396" s="174">
        <f>D397+D402+D409+D415+D421+D425+D429+D433+D439+D446</f>
        <v>119379</v>
      </c>
      <c r="E396" s="165">
        <f t="shared" si="28"/>
        <v>1.09935537342297</v>
      </c>
    </row>
    <row r="397" s="151" customFormat="1" ht="15.95" customHeight="1" spans="1:5">
      <c r="A397" s="175" t="s">
        <v>340</v>
      </c>
      <c r="B397" s="174">
        <v>320</v>
      </c>
      <c r="C397" s="174">
        <v>4758</v>
      </c>
      <c r="D397" s="174">
        <v>4758</v>
      </c>
      <c r="E397" s="165">
        <f t="shared" si="28"/>
        <v>14.86875</v>
      </c>
    </row>
    <row r="398" s="151" customFormat="1" ht="15.95" customHeight="1" spans="1:5">
      <c r="A398" s="170" t="s">
        <v>107</v>
      </c>
      <c r="B398" s="171">
        <v>320</v>
      </c>
      <c r="C398" s="171">
        <v>337</v>
      </c>
      <c r="D398" s="171">
        <v>337</v>
      </c>
      <c r="E398" s="172">
        <f t="shared" si="28"/>
        <v>1.053125</v>
      </c>
    </row>
    <row r="399" s="151" customFormat="1" ht="15.95" hidden="1" customHeight="1" spans="1:5">
      <c r="A399" s="170" t="s">
        <v>108</v>
      </c>
      <c r="B399" s="171">
        <v>0</v>
      </c>
      <c r="C399" s="171"/>
      <c r="D399" s="171"/>
      <c r="E399" s="165"/>
    </row>
    <row r="400" s="151" customFormat="1" ht="15.95" hidden="1" customHeight="1" spans="1:5">
      <c r="A400" s="176" t="s">
        <v>109</v>
      </c>
      <c r="B400" s="178">
        <v>0</v>
      </c>
      <c r="C400" s="178"/>
      <c r="D400" s="178"/>
      <c r="E400" s="165"/>
    </row>
    <row r="401" s="151" customFormat="1" ht="15.95" customHeight="1" spans="1:5">
      <c r="A401" s="170" t="s">
        <v>341</v>
      </c>
      <c r="B401" s="171">
        <v>0</v>
      </c>
      <c r="C401" s="171">
        <v>4421</v>
      </c>
      <c r="D401" s="171">
        <v>4421</v>
      </c>
      <c r="E401" s="165"/>
    </row>
    <row r="402" s="151" customFormat="1" ht="15.95" customHeight="1" spans="1:5">
      <c r="A402" s="175" t="s">
        <v>342</v>
      </c>
      <c r="B402" s="174">
        <v>103917</v>
      </c>
      <c r="C402" s="174">
        <v>103121</v>
      </c>
      <c r="D402" s="174">
        <f>SUM(D403:D408)</f>
        <v>108715</v>
      </c>
      <c r="E402" s="165">
        <f t="shared" ref="E402:E406" si="29">D402/B402</f>
        <v>1.04617146376435</v>
      </c>
    </row>
    <row r="403" s="151" customFormat="1" ht="15.95" customHeight="1" spans="1:5">
      <c r="A403" s="170" t="s">
        <v>343</v>
      </c>
      <c r="B403" s="171">
        <v>8702</v>
      </c>
      <c r="C403" s="171">
        <v>11489</v>
      </c>
      <c r="D403" s="171">
        <f>11489+1200-228</f>
        <v>12461</v>
      </c>
      <c r="E403" s="172">
        <f t="shared" si="29"/>
        <v>1.43196966214663</v>
      </c>
    </row>
    <row r="404" s="151" customFormat="1" ht="15.95" customHeight="1" spans="1:5">
      <c r="A404" s="170" t="s">
        <v>344</v>
      </c>
      <c r="B404" s="171">
        <v>47443</v>
      </c>
      <c r="C404" s="171">
        <v>47049</v>
      </c>
      <c r="D404" s="171">
        <f>47049-990</f>
        <v>46059</v>
      </c>
      <c r="E404" s="172">
        <f t="shared" si="29"/>
        <v>0.970828151676749</v>
      </c>
    </row>
    <row r="405" s="151" customFormat="1" ht="15.95" customHeight="1" spans="1:5">
      <c r="A405" s="170" t="s">
        <v>345</v>
      </c>
      <c r="B405" s="171">
        <v>20518</v>
      </c>
      <c r="C405" s="171">
        <v>18834</v>
      </c>
      <c r="D405" s="171">
        <f>18834+2500-285</f>
        <v>21049</v>
      </c>
      <c r="E405" s="172">
        <f t="shared" si="29"/>
        <v>1.02587971537187</v>
      </c>
    </row>
    <row r="406" s="151" customFormat="1" ht="15.95" customHeight="1" spans="1:5">
      <c r="A406" s="177" t="s">
        <v>346</v>
      </c>
      <c r="B406" s="178">
        <v>23797</v>
      </c>
      <c r="C406" s="178">
        <v>25001</v>
      </c>
      <c r="D406" s="178">
        <f>25001+3500-103</f>
        <v>28398</v>
      </c>
      <c r="E406" s="172">
        <f t="shared" si="29"/>
        <v>1.19334369878556</v>
      </c>
    </row>
    <row r="407" s="151" customFormat="1" ht="15.95" hidden="1" customHeight="1" spans="1:5">
      <c r="A407" s="170" t="s">
        <v>347</v>
      </c>
      <c r="B407" s="171">
        <v>0</v>
      </c>
      <c r="C407" s="171"/>
      <c r="D407" s="171"/>
      <c r="E407" s="172"/>
    </row>
    <row r="408" s="151" customFormat="1" ht="15.95" customHeight="1" spans="1:5">
      <c r="A408" s="170" t="s">
        <v>348</v>
      </c>
      <c r="B408" s="171">
        <v>3457</v>
      </c>
      <c r="C408" s="171">
        <v>748</v>
      </c>
      <c r="D408" s="171">
        <v>748</v>
      </c>
      <c r="E408" s="172">
        <f t="shared" ref="E408:E411" si="30">D408/B408</f>
        <v>0.216372577379231</v>
      </c>
    </row>
    <row r="409" s="151" customFormat="1" ht="15.95" customHeight="1" spans="1:5">
      <c r="A409" s="175" t="s">
        <v>349</v>
      </c>
      <c r="B409" s="174">
        <v>3255</v>
      </c>
      <c r="C409" s="174">
        <v>2956</v>
      </c>
      <c r="D409" s="174">
        <v>2956</v>
      </c>
      <c r="E409" s="165">
        <f t="shared" si="30"/>
        <v>0.908141321044547</v>
      </c>
    </row>
    <row r="410" s="151" customFormat="1" ht="15.95" hidden="1" customHeight="1" spans="1:5">
      <c r="A410" s="177" t="s">
        <v>350</v>
      </c>
      <c r="B410" s="178">
        <v>0</v>
      </c>
      <c r="C410" s="178"/>
      <c r="D410" s="178"/>
      <c r="E410" s="165"/>
    </row>
    <row r="411" s="151" customFormat="1" ht="15.95" customHeight="1" spans="1:5">
      <c r="A411" s="170" t="s">
        <v>351</v>
      </c>
      <c r="B411" s="171">
        <v>3255</v>
      </c>
      <c r="C411" s="171">
        <v>2956</v>
      </c>
      <c r="D411" s="171">
        <v>2956</v>
      </c>
      <c r="E411" s="172">
        <f t="shared" si="30"/>
        <v>0.908141321044547</v>
      </c>
    </row>
    <row r="412" s="151" customFormat="1" ht="15.95" hidden="1" customHeight="1" spans="1:5">
      <c r="A412" s="170" t="s">
        <v>352</v>
      </c>
      <c r="B412" s="171">
        <v>0</v>
      </c>
      <c r="C412" s="171"/>
      <c r="D412" s="171"/>
      <c r="E412" s="165"/>
    </row>
    <row r="413" s="151" customFormat="1" ht="15.95" hidden="1" customHeight="1" spans="1:5">
      <c r="A413" s="173" t="s">
        <v>353</v>
      </c>
      <c r="B413" s="171">
        <v>0</v>
      </c>
      <c r="C413" s="171"/>
      <c r="D413" s="171"/>
      <c r="E413" s="165"/>
    </row>
    <row r="414" s="151" customFormat="1" ht="15.95" hidden="1" customHeight="1" spans="1:5">
      <c r="A414" s="177" t="s">
        <v>354</v>
      </c>
      <c r="B414" s="178">
        <v>0</v>
      </c>
      <c r="C414" s="178"/>
      <c r="D414" s="178"/>
      <c r="E414" s="165"/>
    </row>
    <row r="415" s="151" customFormat="1" ht="15.95" hidden="1" customHeight="1" spans="1:5">
      <c r="A415" s="175" t="s">
        <v>355</v>
      </c>
      <c r="B415" s="174">
        <v>0</v>
      </c>
      <c r="C415" s="174">
        <v>0</v>
      </c>
      <c r="D415" s="174">
        <v>0</v>
      </c>
      <c r="E415" s="165"/>
    </row>
    <row r="416" s="151" customFormat="1" ht="15.95" hidden="1" customHeight="1" spans="1:5">
      <c r="A416" s="170" t="s">
        <v>356</v>
      </c>
      <c r="B416" s="171"/>
      <c r="C416" s="171"/>
      <c r="D416" s="171"/>
      <c r="E416" s="165"/>
    </row>
    <row r="417" s="151" customFormat="1" ht="15.95" hidden="1" customHeight="1" spans="1:5">
      <c r="A417" s="170" t="s">
        <v>357</v>
      </c>
      <c r="B417" s="171"/>
      <c r="C417" s="171"/>
      <c r="D417" s="171"/>
      <c r="E417" s="165"/>
    </row>
    <row r="418" s="151" customFormat="1" ht="15.95" hidden="1" customHeight="1" spans="1:5">
      <c r="A418" s="177" t="s">
        <v>358</v>
      </c>
      <c r="B418" s="178"/>
      <c r="C418" s="178"/>
      <c r="D418" s="178"/>
      <c r="E418" s="165"/>
    </row>
    <row r="419" s="151" customFormat="1" ht="15.95" hidden="1" customHeight="1" spans="1:5">
      <c r="A419" s="170" t="s">
        <v>359</v>
      </c>
      <c r="B419" s="171"/>
      <c r="C419" s="171"/>
      <c r="D419" s="171"/>
      <c r="E419" s="165"/>
    </row>
    <row r="420" s="151" customFormat="1" ht="15.95" hidden="1" customHeight="1" spans="1:5">
      <c r="A420" s="170" t="s">
        <v>360</v>
      </c>
      <c r="B420" s="171"/>
      <c r="C420" s="171"/>
      <c r="D420" s="171"/>
      <c r="E420" s="165"/>
    </row>
    <row r="421" s="151" customFormat="1" ht="15.95" hidden="1" customHeight="1" spans="1:5">
      <c r="A421" s="175" t="s">
        <v>361</v>
      </c>
      <c r="B421" s="174">
        <v>0</v>
      </c>
      <c r="C421" s="174">
        <v>0</v>
      </c>
      <c r="D421" s="174">
        <v>0</v>
      </c>
      <c r="E421" s="165"/>
    </row>
    <row r="422" s="151" customFormat="1" ht="15.95" hidden="1" customHeight="1" spans="1:5">
      <c r="A422" s="170" t="s">
        <v>362</v>
      </c>
      <c r="B422" s="171"/>
      <c r="C422" s="171"/>
      <c r="D422" s="171"/>
      <c r="E422" s="165"/>
    </row>
    <row r="423" s="151" customFormat="1" ht="15.95" hidden="1" customHeight="1" spans="1:5">
      <c r="A423" s="170" t="s">
        <v>363</v>
      </c>
      <c r="B423" s="171"/>
      <c r="C423" s="171"/>
      <c r="D423" s="171"/>
      <c r="E423" s="165"/>
    </row>
    <row r="424" s="151" customFormat="1" ht="15.95" hidden="1" customHeight="1" spans="1:5">
      <c r="A424" s="177" t="s">
        <v>364</v>
      </c>
      <c r="B424" s="178"/>
      <c r="C424" s="178"/>
      <c r="D424" s="178"/>
      <c r="E424" s="165"/>
    </row>
    <row r="425" s="151" customFormat="1" ht="15.95" hidden="1" customHeight="1" spans="1:5">
      <c r="A425" s="175" t="s">
        <v>365</v>
      </c>
      <c r="B425" s="174">
        <v>0</v>
      </c>
      <c r="C425" s="174">
        <v>0</v>
      </c>
      <c r="D425" s="174">
        <v>0</v>
      </c>
      <c r="E425" s="165"/>
    </row>
    <row r="426" s="151" customFormat="1" ht="15.95" hidden="1" customHeight="1" spans="1:5">
      <c r="A426" s="170" t="s">
        <v>366</v>
      </c>
      <c r="B426" s="171"/>
      <c r="C426" s="171"/>
      <c r="D426" s="171"/>
      <c r="E426" s="165"/>
    </row>
    <row r="427" s="151" customFormat="1" ht="15.95" hidden="1" customHeight="1" spans="1:5">
      <c r="A427" s="170" t="s">
        <v>367</v>
      </c>
      <c r="B427" s="171"/>
      <c r="C427" s="171"/>
      <c r="D427" s="171"/>
      <c r="E427" s="165"/>
    </row>
    <row r="428" s="151" customFormat="1" ht="15.95" hidden="1" customHeight="1" spans="1:5">
      <c r="A428" s="173" t="s">
        <v>368</v>
      </c>
      <c r="B428" s="171"/>
      <c r="C428" s="171"/>
      <c r="D428" s="171"/>
      <c r="E428" s="165"/>
    </row>
    <row r="429" s="151" customFormat="1" ht="15.95" customHeight="1" spans="1:5">
      <c r="A429" s="175" t="s">
        <v>369</v>
      </c>
      <c r="B429" s="174">
        <v>887</v>
      </c>
      <c r="C429" s="174">
        <v>984</v>
      </c>
      <c r="D429" s="174">
        <f>D430</f>
        <v>979</v>
      </c>
      <c r="E429" s="165">
        <f t="shared" ref="E429:E433" si="31">D429/B429</f>
        <v>1.10372040586246</v>
      </c>
    </row>
    <row r="430" s="151" customFormat="1" ht="15.95" customHeight="1" spans="1:5">
      <c r="A430" s="170" t="s">
        <v>370</v>
      </c>
      <c r="B430" s="171">
        <v>886</v>
      </c>
      <c r="C430" s="171">
        <v>984</v>
      </c>
      <c r="D430" s="171">
        <f>984-5</f>
        <v>979</v>
      </c>
      <c r="E430" s="172">
        <f t="shared" si="31"/>
        <v>1.10496613995485</v>
      </c>
    </row>
    <row r="431" s="151" customFormat="1" ht="15.95" hidden="1" customHeight="1" spans="1:5">
      <c r="A431" s="170" t="s">
        <v>371</v>
      </c>
      <c r="B431" s="171">
        <v>0</v>
      </c>
      <c r="C431" s="171"/>
      <c r="D431" s="171"/>
      <c r="E431" s="165"/>
    </row>
    <row r="432" s="151" customFormat="1" ht="15.95" customHeight="1" spans="1:5">
      <c r="A432" s="176" t="s">
        <v>372</v>
      </c>
      <c r="B432" s="178">
        <v>1</v>
      </c>
      <c r="C432" s="178"/>
      <c r="D432" s="178"/>
      <c r="E432" s="172">
        <f t="shared" si="31"/>
        <v>0</v>
      </c>
    </row>
    <row r="433" s="151" customFormat="1" ht="15.95" customHeight="1" spans="1:5">
      <c r="A433" s="169" t="s">
        <v>373</v>
      </c>
      <c r="B433" s="167">
        <v>209</v>
      </c>
      <c r="C433" s="167">
        <v>231</v>
      </c>
      <c r="D433" s="167">
        <f>D435</f>
        <v>213</v>
      </c>
      <c r="E433" s="165">
        <f t="shared" si="31"/>
        <v>1.01913875598086</v>
      </c>
    </row>
    <row r="434" s="151" customFormat="1" ht="15.95" customHeight="1" spans="1:5">
      <c r="A434" s="170" t="s">
        <v>374</v>
      </c>
      <c r="B434" s="171">
        <v>0</v>
      </c>
      <c r="C434" s="171"/>
      <c r="D434" s="171"/>
      <c r="E434" s="165"/>
    </row>
    <row r="435" s="151" customFormat="1" ht="15.95" customHeight="1" spans="1:5">
      <c r="A435" s="170" t="s">
        <v>375</v>
      </c>
      <c r="B435" s="171">
        <v>209</v>
      </c>
      <c r="C435" s="171">
        <v>231</v>
      </c>
      <c r="D435" s="171">
        <f>231-18</f>
        <v>213</v>
      </c>
      <c r="E435" s="172">
        <f>D435/B435</f>
        <v>1.01913875598086</v>
      </c>
    </row>
    <row r="436" s="151" customFormat="1" ht="15.95" hidden="1" customHeight="1" spans="1:5">
      <c r="A436" s="170" t="s">
        <v>376</v>
      </c>
      <c r="B436" s="171">
        <v>0</v>
      </c>
      <c r="C436" s="171"/>
      <c r="D436" s="171"/>
      <c r="E436" s="165"/>
    </row>
    <row r="437" s="151" customFormat="1" ht="15.95" hidden="1" customHeight="1" spans="1:5">
      <c r="A437" s="170" t="s">
        <v>377</v>
      </c>
      <c r="B437" s="171">
        <v>0</v>
      </c>
      <c r="C437" s="171"/>
      <c r="D437" s="171"/>
      <c r="E437" s="165"/>
    </row>
    <row r="438" s="151" customFormat="1" ht="15.95" hidden="1" customHeight="1" spans="1:5">
      <c r="A438" s="177" t="s">
        <v>378</v>
      </c>
      <c r="B438" s="178">
        <v>0</v>
      </c>
      <c r="C438" s="178"/>
      <c r="D438" s="178"/>
      <c r="E438" s="165"/>
    </row>
    <row r="439" s="151" customFormat="1" ht="15.95" hidden="1" customHeight="1" spans="1:5">
      <c r="A439" s="175" t="s">
        <v>379</v>
      </c>
      <c r="B439" s="174"/>
      <c r="C439" s="174">
        <v>0</v>
      </c>
      <c r="D439" s="174">
        <v>0</v>
      </c>
      <c r="E439" s="165"/>
    </row>
    <row r="440" s="151" customFormat="1" ht="15.95" hidden="1" customHeight="1" spans="1:5">
      <c r="A440" s="173" t="s">
        <v>380</v>
      </c>
      <c r="B440" s="171"/>
      <c r="C440" s="171"/>
      <c r="D440" s="171"/>
      <c r="E440" s="165"/>
    </row>
    <row r="441" s="151" customFormat="1" ht="15.95" hidden="1" customHeight="1" spans="1:5">
      <c r="A441" s="170" t="s">
        <v>381</v>
      </c>
      <c r="B441" s="171"/>
      <c r="C441" s="171"/>
      <c r="D441" s="171"/>
      <c r="E441" s="165"/>
    </row>
    <row r="442" s="151" customFormat="1" ht="15.95" hidden="1" customHeight="1" spans="1:5">
      <c r="A442" s="170" t="s">
        <v>382</v>
      </c>
      <c r="B442" s="171"/>
      <c r="C442" s="171"/>
      <c r="D442" s="171"/>
      <c r="E442" s="165"/>
    </row>
    <row r="443" s="151" customFormat="1" ht="15.95" hidden="1" customHeight="1" spans="1:5">
      <c r="A443" s="170" t="s">
        <v>383</v>
      </c>
      <c r="B443" s="171"/>
      <c r="C443" s="171"/>
      <c r="D443" s="171"/>
      <c r="E443" s="165"/>
    </row>
    <row r="444" s="151" customFormat="1" ht="15.95" hidden="1" customHeight="1" spans="1:5">
      <c r="A444" s="170" t="s">
        <v>384</v>
      </c>
      <c r="B444" s="171"/>
      <c r="C444" s="171"/>
      <c r="D444" s="171"/>
      <c r="E444" s="165"/>
    </row>
    <row r="445" s="151" customFormat="1" ht="15.95" hidden="1" customHeight="1" spans="1:5">
      <c r="A445" s="170" t="s">
        <v>385</v>
      </c>
      <c r="B445" s="171"/>
      <c r="C445" s="171"/>
      <c r="D445" s="171"/>
      <c r="E445" s="165"/>
    </row>
    <row r="446" s="151" customFormat="1" ht="15.95" customHeight="1" spans="1:5">
      <c r="A446" s="175" t="s">
        <v>386</v>
      </c>
      <c r="B446" s="174">
        <v>2</v>
      </c>
      <c r="C446" s="174">
        <v>1858</v>
      </c>
      <c r="D446" s="174">
        <f>D447</f>
        <v>1758</v>
      </c>
      <c r="E446" s="165">
        <f t="shared" ref="E446:E450" si="32">D446/B446</f>
        <v>879</v>
      </c>
    </row>
    <row r="447" s="151" customFormat="1" ht="15.95" customHeight="1" spans="1:5">
      <c r="A447" s="177" t="s">
        <v>387</v>
      </c>
      <c r="B447" s="178">
        <v>2</v>
      </c>
      <c r="C447" s="178">
        <v>1858</v>
      </c>
      <c r="D447" s="178">
        <f>1858-100</f>
        <v>1758</v>
      </c>
      <c r="E447" s="172">
        <f t="shared" si="32"/>
        <v>879</v>
      </c>
    </row>
    <row r="448" s="151" customFormat="1" ht="15.95" customHeight="1" spans="1:5">
      <c r="A448" s="175" t="s">
        <v>388</v>
      </c>
      <c r="B448" s="174">
        <v>115</v>
      </c>
      <c r="C448" s="174">
        <f>C449+C454+C463+C469+C474+C479+C484+C491+C499</f>
        <v>275</v>
      </c>
      <c r="D448" s="174">
        <f>D449+D454+D463+D469+D474+D479+D484+D491+D499</f>
        <v>275</v>
      </c>
      <c r="E448" s="165">
        <f t="shared" si="32"/>
        <v>2.39130434782609</v>
      </c>
    </row>
    <row r="449" s="151" customFormat="1" ht="15.95" customHeight="1" spans="1:5">
      <c r="A449" s="175" t="s">
        <v>389</v>
      </c>
      <c r="B449" s="174">
        <v>91</v>
      </c>
      <c r="C449" s="174">
        <v>81</v>
      </c>
      <c r="D449" s="174">
        <v>81</v>
      </c>
      <c r="E449" s="165">
        <f t="shared" si="32"/>
        <v>0.89010989010989</v>
      </c>
    </row>
    <row r="450" s="151" customFormat="1" ht="15.95" customHeight="1" spans="1:5">
      <c r="A450" s="170" t="s">
        <v>107</v>
      </c>
      <c r="B450" s="171">
        <v>91</v>
      </c>
      <c r="C450" s="171">
        <v>81</v>
      </c>
      <c r="D450" s="171">
        <v>81</v>
      </c>
      <c r="E450" s="172">
        <f t="shared" si="32"/>
        <v>0.89010989010989</v>
      </c>
    </row>
    <row r="451" s="151" customFormat="1" ht="15.95" hidden="1" customHeight="1" spans="1:5">
      <c r="A451" s="170" t="s">
        <v>108</v>
      </c>
      <c r="B451" s="171"/>
      <c r="C451" s="171"/>
      <c r="D451" s="171"/>
      <c r="E451" s="165"/>
    </row>
    <row r="452" s="151" customFormat="1" ht="15.95" hidden="1" customHeight="1" spans="1:5">
      <c r="A452" s="170" t="s">
        <v>109</v>
      </c>
      <c r="B452" s="171"/>
      <c r="C452" s="171"/>
      <c r="D452" s="171"/>
      <c r="E452" s="165"/>
    </row>
    <row r="453" s="151" customFormat="1" ht="15.95" hidden="1" customHeight="1" spans="1:5">
      <c r="A453" s="177" t="s">
        <v>390</v>
      </c>
      <c r="B453" s="178"/>
      <c r="C453" s="178"/>
      <c r="D453" s="178"/>
      <c r="E453" s="165"/>
    </row>
    <row r="454" s="151" customFormat="1" ht="15.95" hidden="1" customHeight="1" spans="1:5">
      <c r="A454" s="179" t="s">
        <v>391</v>
      </c>
      <c r="B454" s="174"/>
      <c r="C454" s="174">
        <v>0</v>
      </c>
      <c r="D454" s="174">
        <v>0</v>
      </c>
      <c r="E454" s="165"/>
    </row>
    <row r="455" s="151" customFormat="1" ht="15.95" hidden="1" customHeight="1" spans="1:5">
      <c r="A455" s="170" t="s">
        <v>392</v>
      </c>
      <c r="B455" s="171"/>
      <c r="C455" s="171"/>
      <c r="D455" s="171"/>
      <c r="E455" s="165"/>
    </row>
    <row r="456" s="151" customFormat="1" ht="15.95" hidden="1" customHeight="1" spans="1:5">
      <c r="A456" s="170" t="s">
        <v>393</v>
      </c>
      <c r="B456" s="171"/>
      <c r="C456" s="171"/>
      <c r="D456" s="171"/>
      <c r="E456" s="165"/>
    </row>
    <row r="457" s="151" customFormat="1" ht="15.95" hidden="1" customHeight="1" spans="1:5">
      <c r="A457" s="170" t="s">
        <v>394</v>
      </c>
      <c r="B457" s="171"/>
      <c r="C457" s="171"/>
      <c r="D457" s="171"/>
      <c r="E457" s="165"/>
    </row>
    <row r="458" s="151" customFormat="1" ht="15.95" hidden="1" customHeight="1" spans="1:5">
      <c r="A458" s="177" t="s">
        <v>395</v>
      </c>
      <c r="B458" s="178"/>
      <c r="C458" s="178"/>
      <c r="D458" s="178"/>
      <c r="E458" s="165"/>
    </row>
    <row r="459" s="151" customFormat="1" ht="15.95" hidden="1" customHeight="1" spans="1:5">
      <c r="A459" s="170" t="s">
        <v>396</v>
      </c>
      <c r="B459" s="171"/>
      <c r="C459" s="171"/>
      <c r="D459" s="171"/>
      <c r="E459" s="165"/>
    </row>
    <row r="460" s="151" customFormat="1" ht="15.95" hidden="1" customHeight="1" spans="1:5">
      <c r="A460" s="170" t="s">
        <v>397</v>
      </c>
      <c r="B460" s="171"/>
      <c r="C460" s="171"/>
      <c r="D460" s="171"/>
      <c r="E460" s="165"/>
    </row>
    <row r="461" s="151" customFormat="1" ht="15.95" hidden="1" customHeight="1" spans="1:5">
      <c r="A461" s="170" t="s">
        <v>398</v>
      </c>
      <c r="B461" s="171"/>
      <c r="C461" s="171"/>
      <c r="D461" s="171"/>
      <c r="E461" s="165"/>
    </row>
    <row r="462" s="151" customFormat="1" ht="15.95" hidden="1" customHeight="1" spans="1:5">
      <c r="A462" s="170" t="s">
        <v>399</v>
      </c>
      <c r="B462" s="171"/>
      <c r="C462" s="171"/>
      <c r="D462" s="171"/>
      <c r="E462" s="165"/>
    </row>
    <row r="463" s="151" customFormat="1" ht="15.95" hidden="1" customHeight="1" spans="1:5">
      <c r="A463" s="169" t="s">
        <v>400</v>
      </c>
      <c r="B463" s="167">
        <v>0</v>
      </c>
      <c r="C463" s="167">
        <v>0</v>
      </c>
      <c r="D463" s="167">
        <v>0</v>
      </c>
      <c r="E463" s="165"/>
    </row>
    <row r="464" s="151" customFormat="1" ht="15.95" hidden="1" customHeight="1" spans="1:5">
      <c r="A464" s="170" t="s">
        <v>392</v>
      </c>
      <c r="B464" s="171"/>
      <c r="C464" s="171"/>
      <c r="D464" s="171"/>
      <c r="E464" s="165"/>
    </row>
    <row r="465" s="151" customFormat="1" ht="15.95" hidden="1" customHeight="1" spans="1:5">
      <c r="A465" s="170" t="s">
        <v>401</v>
      </c>
      <c r="B465" s="171"/>
      <c r="C465" s="171"/>
      <c r="D465" s="171"/>
      <c r="E465" s="165"/>
    </row>
    <row r="466" s="151" customFormat="1" ht="15.95" hidden="1" customHeight="1" spans="1:5">
      <c r="A466" s="170" t="s">
        <v>402</v>
      </c>
      <c r="B466" s="171"/>
      <c r="C466" s="171"/>
      <c r="D466" s="171"/>
      <c r="E466" s="165"/>
    </row>
    <row r="467" s="151" customFormat="1" ht="15.95" hidden="1" customHeight="1" spans="1:5">
      <c r="A467" s="170" t="s">
        <v>403</v>
      </c>
      <c r="B467" s="171"/>
      <c r="C467" s="171"/>
      <c r="D467" s="171"/>
      <c r="E467" s="165"/>
    </row>
    <row r="468" s="151" customFormat="1" ht="15.95" hidden="1" customHeight="1" spans="1:5">
      <c r="A468" s="177" t="s">
        <v>404</v>
      </c>
      <c r="B468" s="178"/>
      <c r="C468" s="178"/>
      <c r="D468" s="178"/>
      <c r="E468" s="165"/>
    </row>
    <row r="469" s="151" customFormat="1" ht="15.95" hidden="1" customHeight="1" spans="1:5">
      <c r="A469" s="175" t="s">
        <v>405</v>
      </c>
      <c r="B469" s="174">
        <v>0</v>
      </c>
      <c r="C469" s="174">
        <v>0</v>
      </c>
      <c r="D469" s="174">
        <v>0</v>
      </c>
      <c r="E469" s="165"/>
    </row>
    <row r="470" s="151" customFormat="1" ht="15.95" hidden="1" customHeight="1" spans="1:5">
      <c r="A470" s="170" t="s">
        <v>392</v>
      </c>
      <c r="B470" s="171"/>
      <c r="C470" s="171"/>
      <c r="D470" s="171"/>
      <c r="E470" s="165"/>
    </row>
    <row r="471" s="151" customFormat="1" ht="15.95" hidden="1" customHeight="1" spans="1:5">
      <c r="A471" s="170" t="s">
        <v>406</v>
      </c>
      <c r="B471" s="171"/>
      <c r="C471" s="171"/>
      <c r="D471" s="171"/>
      <c r="E471" s="165"/>
    </row>
    <row r="472" s="151" customFormat="1" ht="15.95" hidden="1" customHeight="1" spans="1:5">
      <c r="A472" s="170" t="s">
        <v>407</v>
      </c>
      <c r="B472" s="171"/>
      <c r="C472" s="171"/>
      <c r="D472" s="171"/>
      <c r="E472" s="165"/>
    </row>
    <row r="473" s="151" customFormat="1" ht="15.95" hidden="1" customHeight="1" spans="1:5">
      <c r="A473" s="170" t="s">
        <v>408</v>
      </c>
      <c r="B473" s="171"/>
      <c r="C473" s="171"/>
      <c r="D473" s="171"/>
      <c r="E473" s="165"/>
    </row>
    <row r="474" s="151" customFormat="1" ht="15.95" hidden="1" customHeight="1" spans="1:5">
      <c r="A474" s="175" t="s">
        <v>409</v>
      </c>
      <c r="B474" s="174">
        <v>0</v>
      </c>
      <c r="C474" s="174">
        <v>0</v>
      </c>
      <c r="D474" s="174">
        <v>0</v>
      </c>
      <c r="E474" s="165"/>
    </row>
    <row r="475" s="151" customFormat="1" ht="15.95" hidden="1" customHeight="1" spans="1:5">
      <c r="A475" s="177" t="s">
        <v>392</v>
      </c>
      <c r="B475" s="178"/>
      <c r="C475" s="178"/>
      <c r="D475" s="178"/>
      <c r="E475" s="165"/>
    </row>
    <row r="476" s="151" customFormat="1" ht="15.95" hidden="1" customHeight="1" spans="1:5">
      <c r="A476" s="170" t="s">
        <v>410</v>
      </c>
      <c r="B476" s="171"/>
      <c r="C476" s="171"/>
      <c r="D476" s="171"/>
      <c r="E476" s="165"/>
    </row>
    <row r="477" s="151" customFormat="1" ht="15.95" hidden="1" customHeight="1" spans="1:5">
      <c r="A477" s="170" t="s">
        <v>411</v>
      </c>
      <c r="B477" s="171"/>
      <c r="C477" s="171"/>
      <c r="D477" s="171"/>
      <c r="E477" s="165"/>
    </row>
    <row r="478" s="151" customFormat="1" ht="15.95" hidden="1" customHeight="1" spans="1:5">
      <c r="A478" s="170" t="s">
        <v>412</v>
      </c>
      <c r="B478" s="171"/>
      <c r="C478" s="171"/>
      <c r="D478" s="171"/>
      <c r="E478" s="165"/>
    </row>
    <row r="479" s="151" customFormat="1" ht="15.95" hidden="1" customHeight="1" spans="1:5">
      <c r="A479" s="166" t="s">
        <v>413</v>
      </c>
      <c r="B479" s="167">
        <v>0</v>
      </c>
      <c r="C479" s="167">
        <v>0</v>
      </c>
      <c r="D479" s="167">
        <v>0</v>
      </c>
      <c r="E479" s="165"/>
    </row>
    <row r="480" s="151" customFormat="1" ht="15.95" hidden="1" customHeight="1" spans="1:5">
      <c r="A480" s="170" t="s">
        <v>414</v>
      </c>
      <c r="B480" s="171"/>
      <c r="C480" s="171"/>
      <c r="D480" s="171"/>
      <c r="E480" s="165"/>
    </row>
    <row r="481" s="151" customFormat="1" ht="15.95" hidden="1" customHeight="1" spans="1:5">
      <c r="A481" s="170" t="s">
        <v>415</v>
      </c>
      <c r="B481" s="171"/>
      <c r="C481" s="171"/>
      <c r="D481" s="171"/>
      <c r="E481" s="165"/>
    </row>
    <row r="482" s="151" customFormat="1" ht="15.95" hidden="1" customHeight="1" spans="1:5">
      <c r="A482" s="170" t="s">
        <v>416</v>
      </c>
      <c r="B482" s="171"/>
      <c r="C482" s="171"/>
      <c r="D482" s="171"/>
      <c r="E482" s="165"/>
    </row>
    <row r="483" s="151" customFormat="1" ht="15.95" hidden="1" customHeight="1" spans="1:5">
      <c r="A483" s="177" t="s">
        <v>417</v>
      </c>
      <c r="B483" s="178"/>
      <c r="C483" s="178"/>
      <c r="D483" s="178"/>
      <c r="E483" s="165"/>
    </row>
    <row r="484" s="151" customFormat="1" ht="15.95" customHeight="1" spans="1:5">
      <c r="A484" s="175" t="s">
        <v>418</v>
      </c>
      <c r="B484" s="174">
        <v>2</v>
      </c>
      <c r="C484" s="174">
        <v>49</v>
      </c>
      <c r="D484" s="174">
        <v>49</v>
      </c>
      <c r="E484" s="165">
        <f>D484/B484</f>
        <v>24.5</v>
      </c>
    </row>
    <row r="485" s="151" customFormat="1" ht="15.95" hidden="1" customHeight="1" spans="1:5">
      <c r="A485" s="170" t="s">
        <v>392</v>
      </c>
      <c r="B485" s="171">
        <v>0</v>
      </c>
      <c r="C485" s="171"/>
      <c r="D485" s="171"/>
      <c r="E485" s="165"/>
    </row>
    <row r="486" s="151" customFormat="1" ht="15.95" customHeight="1" spans="1:5">
      <c r="A486" s="170" t="s">
        <v>419</v>
      </c>
      <c r="B486" s="171">
        <v>2</v>
      </c>
      <c r="C486" s="171">
        <v>49</v>
      </c>
      <c r="D486" s="171">
        <v>49</v>
      </c>
      <c r="E486" s="172">
        <f>D486/B486</f>
        <v>24.5</v>
      </c>
    </row>
    <row r="487" s="151" customFormat="1" ht="15.95" hidden="1" customHeight="1" spans="1:5">
      <c r="A487" s="170" t="s">
        <v>420</v>
      </c>
      <c r="B487" s="171">
        <v>0</v>
      </c>
      <c r="C487" s="171"/>
      <c r="D487" s="171"/>
      <c r="E487" s="165"/>
    </row>
    <row r="488" s="151" customFormat="1" ht="15.95" hidden="1" customHeight="1" spans="1:5">
      <c r="A488" s="176" t="s">
        <v>421</v>
      </c>
      <c r="B488" s="178">
        <v>0</v>
      </c>
      <c r="C488" s="178"/>
      <c r="D488" s="178"/>
      <c r="E488" s="165"/>
    </row>
    <row r="489" s="151" customFormat="1" ht="15.95" hidden="1" customHeight="1" spans="1:5">
      <c r="A489" s="176" t="s">
        <v>422</v>
      </c>
      <c r="B489" s="178">
        <v>0</v>
      </c>
      <c r="C489" s="178"/>
      <c r="D489" s="178"/>
      <c r="E489" s="165"/>
    </row>
    <row r="490" s="151" customFormat="1" ht="15.95" hidden="1" customHeight="1" spans="1:5">
      <c r="A490" s="173" t="s">
        <v>423</v>
      </c>
      <c r="B490" s="171">
        <v>0</v>
      </c>
      <c r="C490" s="171"/>
      <c r="D490" s="171"/>
      <c r="E490" s="165"/>
    </row>
    <row r="491" s="151" customFormat="1" ht="15.95" hidden="1" customHeight="1" spans="1:5">
      <c r="A491" s="179" t="s">
        <v>424</v>
      </c>
      <c r="B491" s="174">
        <v>0</v>
      </c>
      <c r="C491" s="174">
        <v>0</v>
      </c>
      <c r="D491" s="174">
        <v>0</v>
      </c>
      <c r="E491" s="165"/>
    </row>
    <row r="492" s="151" customFormat="1" ht="15.95" hidden="1" customHeight="1" spans="1:5">
      <c r="A492" s="173" t="s">
        <v>425</v>
      </c>
      <c r="B492" s="171"/>
      <c r="C492" s="171"/>
      <c r="D492" s="171"/>
      <c r="E492" s="165"/>
    </row>
    <row r="493" s="151" customFormat="1" ht="15.95" hidden="1" customHeight="1" spans="1:5">
      <c r="A493" s="173" t="s">
        <v>426</v>
      </c>
      <c r="B493" s="171"/>
      <c r="C493" s="171"/>
      <c r="D493" s="171"/>
      <c r="E493" s="165"/>
    </row>
    <row r="494" s="151" customFormat="1" ht="15.95" hidden="1" customHeight="1" spans="1:5">
      <c r="A494" s="173" t="s">
        <v>427</v>
      </c>
      <c r="B494" s="171"/>
      <c r="C494" s="171"/>
      <c r="D494" s="171"/>
      <c r="E494" s="165"/>
    </row>
    <row r="495" s="151" customFormat="1" ht="15.95" hidden="1" customHeight="1" spans="1:5">
      <c r="A495" s="179" t="s">
        <v>428</v>
      </c>
      <c r="B495" s="174">
        <v>0</v>
      </c>
      <c r="C495" s="174">
        <v>0</v>
      </c>
      <c r="D495" s="174">
        <v>0</v>
      </c>
      <c r="E495" s="165"/>
    </row>
    <row r="496" s="151" customFormat="1" ht="15.95" hidden="1" customHeight="1" spans="1:5">
      <c r="A496" s="173" t="s">
        <v>429</v>
      </c>
      <c r="B496" s="171"/>
      <c r="C496" s="171"/>
      <c r="D496" s="171"/>
      <c r="E496" s="165"/>
    </row>
    <row r="497" s="151" customFormat="1" ht="15.95" hidden="1" customHeight="1" spans="1:5">
      <c r="A497" s="173" t="s">
        <v>430</v>
      </c>
      <c r="B497" s="171"/>
      <c r="C497" s="171"/>
      <c r="D497" s="171"/>
      <c r="E497" s="165"/>
    </row>
    <row r="498" s="151" customFormat="1" ht="15.95" hidden="1" customHeight="1" spans="1:5">
      <c r="A498" s="173" t="s">
        <v>431</v>
      </c>
      <c r="B498" s="171"/>
      <c r="C498" s="171"/>
      <c r="D498" s="171"/>
      <c r="E498" s="165"/>
    </row>
    <row r="499" s="151" customFormat="1" ht="15.95" customHeight="1" spans="1:5">
      <c r="A499" s="179" t="s">
        <v>432</v>
      </c>
      <c r="B499" s="174">
        <v>22</v>
      </c>
      <c r="C499" s="174">
        <v>145</v>
      </c>
      <c r="D499" s="174">
        <v>145</v>
      </c>
      <c r="E499" s="165">
        <f t="shared" ref="E499:E506" si="33">D499/B499</f>
        <v>6.59090909090909</v>
      </c>
    </row>
    <row r="500" s="151" customFormat="1" ht="15.95" hidden="1" customHeight="1" spans="1:5">
      <c r="A500" s="173" t="s">
        <v>433</v>
      </c>
      <c r="B500" s="171">
        <v>0</v>
      </c>
      <c r="C500" s="171"/>
      <c r="D500" s="171"/>
      <c r="E500" s="165"/>
    </row>
    <row r="501" s="151" customFormat="1" ht="15.95" hidden="1" customHeight="1" spans="1:5">
      <c r="A501" s="173" t="s">
        <v>434</v>
      </c>
      <c r="B501" s="171">
        <v>0</v>
      </c>
      <c r="C501" s="171"/>
      <c r="D501" s="171"/>
      <c r="E501" s="165"/>
    </row>
    <row r="502" s="151" customFormat="1" ht="15.95" hidden="1" customHeight="1" spans="1:5">
      <c r="A502" s="173" t="s">
        <v>435</v>
      </c>
      <c r="B502" s="171">
        <v>0</v>
      </c>
      <c r="C502" s="171"/>
      <c r="D502" s="171"/>
      <c r="E502" s="165"/>
    </row>
    <row r="503" s="151" customFormat="1" ht="15.95" customHeight="1" spans="1:5">
      <c r="A503" s="173" t="s">
        <v>436</v>
      </c>
      <c r="B503" s="171">
        <v>22</v>
      </c>
      <c r="C503" s="171">
        <v>145</v>
      </c>
      <c r="D503" s="171">
        <v>145</v>
      </c>
      <c r="E503" s="172">
        <f t="shared" si="33"/>
        <v>6.59090909090909</v>
      </c>
    </row>
    <row r="504" s="151" customFormat="1" ht="20.1" customHeight="1" spans="1:5">
      <c r="A504" s="179" t="s">
        <v>437</v>
      </c>
      <c r="B504" s="174">
        <v>6964</v>
      </c>
      <c r="C504" s="174">
        <f>C505+C521+C529+C540+C549+C557</f>
        <v>3035</v>
      </c>
      <c r="D504" s="174">
        <f>D505+D521+D529+D540+D549+D557</f>
        <v>2970</v>
      </c>
      <c r="E504" s="165">
        <f t="shared" si="33"/>
        <v>0.426479035037335</v>
      </c>
    </row>
    <row r="505" s="151" customFormat="1" ht="15.95" customHeight="1" spans="1:5">
      <c r="A505" s="166" t="s">
        <v>438</v>
      </c>
      <c r="B505" s="167">
        <v>4875</v>
      </c>
      <c r="C505" s="167">
        <v>614</v>
      </c>
      <c r="D505" s="167">
        <f>SUM(D506:D520)</f>
        <v>597</v>
      </c>
      <c r="E505" s="165">
        <f t="shared" si="33"/>
        <v>0.122461538461538</v>
      </c>
    </row>
    <row r="506" s="151" customFormat="1" ht="15.95" customHeight="1" spans="1:5">
      <c r="A506" s="173" t="s">
        <v>107</v>
      </c>
      <c r="B506" s="171">
        <v>285</v>
      </c>
      <c r="C506" s="171">
        <v>303</v>
      </c>
      <c r="D506" s="171">
        <f>303-7</f>
        <v>296</v>
      </c>
      <c r="E506" s="172">
        <f t="shared" si="33"/>
        <v>1.03859649122807</v>
      </c>
    </row>
    <row r="507" s="151" customFormat="1" ht="15.95" hidden="1" customHeight="1" spans="1:5">
      <c r="A507" s="173" t="s">
        <v>108</v>
      </c>
      <c r="B507" s="171">
        <v>0</v>
      </c>
      <c r="C507" s="171"/>
      <c r="D507" s="171"/>
      <c r="E507" s="172"/>
    </row>
    <row r="508" s="151" customFormat="1" ht="15.95" hidden="1" customHeight="1" spans="1:5">
      <c r="A508" s="173" t="s">
        <v>109</v>
      </c>
      <c r="B508" s="171">
        <v>0</v>
      </c>
      <c r="C508" s="171"/>
      <c r="D508" s="171"/>
      <c r="E508" s="172"/>
    </row>
    <row r="509" s="151" customFormat="1" ht="15.95" customHeight="1" spans="1:5">
      <c r="A509" s="173" t="s">
        <v>439</v>
      </c>
      <c r="B509" s="171">
        <v>76</v>
      </c>
      <c r="C509" s="171">
        <v>87</v>
      </c>
      <c r="D509" s="171">
        <f>87-10</f>
        <v>77</v>
      </c>
      <c r="E509" s="172">
        <f t="shared" ref="E509:E516" si="34">D509/B509</f>
        <v>1.01315789473684</v>
      </c>
    </row>
    <row r="510" s="151" customFormat="1" ht="15.95" hidden="1" customHeight="1" spans="1:5">
      <c r="A510" s="173" t="s">
        <v>440</v>
      </c>
      <c r="B510" s="171">
        <v>0</v>
      </c>
      <c r="C510" s="171"/>
      <c r="D510" s="171"/>
      <c r="E510" s="172"/>
    </row>
    <row r="511" s="151" customFormat="1" ht="15.95" hidden="1" customHeight="1" spans="1:5">
      <c r="A511" s="173" t="s">
        <v>441</v>
      </c>
      <c r="B511" s="171">
        <v>0</v>
      </c>
      <c r="C511" s="171"/>
      <c r="D511" s="171"/>
      <c r="E511" s="172"/>
    </row>
    <row r="512" s="151" customFormat="1" ht="15.95" customHeight="1" spans="1:5">
      <c r="A512" s="173" t="s">
        <v>442</v>
      </c>
      <c r="B512" s="171">
        <v>112</v>
      </c>
      <c r="C512" s="171"/>
      <c r="D512" s="171"/>
      <c r="E512" s="172">
        <f t="shared" si="34"/>
        <v>0</v>
      </c>
    </row>
    <row r="513" s="151" customFormat="1" ht="15.95" customHeight="1" spans="1:5">
      <c r="A513" s="176" t="s">
        <v>443</v>
      </c>
      <c r="B513" s="178">
        <v>73</v>
      </c>
      <c r="C513" s="178"/>
      <c r="D513" s="178"/>
      <c r="E513" s="172">
        <f t="shared" si="34"/>
        <v>0</v>
      </c>
    </row>
    <row r="514" s="151" customFormat="1" ht="15.95" customHeight="1" spans="1:5">
      <c r="A514" s="173" t="s">
        <v>444</v>
      </c>
      <c r="B514" s="171">
        <v>115</v>
      </c>
      <c r="C514" s="171">
        <v>133</v>
      </c>
      <c r="D514" s="171">
        <v>133</v>
      </c>
      <c r="E514" s="172">
        <f t="shared" si="34"/>
        <v>1.15652173913043</v>
      </c>
    </row>
    <row r="515" s="151" customFormat="1" ht="15.95" customHeight="1" spans="1:5">
      <c r="A515" s="173" t="s">
        <v>445</v>
      </c>
      <c r="B515" s="171">
        <v>5</v>
      </c>
      <c r="C515" s="171"/>
      <c r="D515" s="171"/>
      <c r="E515" s="172">
        <f t="shared" si="34"/>
        <v>0</v>
      </c>
    </row>
    <row r="516" s="151" customFormat="1" ht="15.95" customHeight="1" spans="1:5">
      <c r="A516" s="173" t="s">
        <v>446</v>
      </c>
      <c r="B516" s="171">
        <v>74</v>
      </c>
      <c r="C516" s="171">
        <v>55</v>
      </c>
      <c r="D516" s="171">
        <v>55</v>
      </c>
      <c r="E516" s="172">
        <f t="shared" si="34"/>
        <v>0.743243243243243</v>
      </c>
    </row>
    <row r="517" s="151" customFormat="1" ht="15.95" hidden="1" customHeight="1" spans="1:5">
      <c r="A517" s="173" t="s">
        <v>447</v>
      </c>
      <c r="B517" s="171">
        <v>0</v>
      </c>
      <c r="C517" s="171"/>
      <c r="D517" s="171"/>
      <c r="E517" s="172"/>
    </row>
    <row r="518" s="151" customFormat="1" ht="15.95" customHeight="1" spans="1:5">
      <c r="A518" s="173" t="s">
        <v>448</v>
      </c>
      <c r="B518" s="171">
        <v>8</v>
      </c>
      <c r="C518" s="171"/>
      <c r="D518" s="171"/>
      <c r="E518" s="172">
        <f t="shared" ref="E518:E521" si="35">D518/B518</f>
        <v>0</v>
      </c>
    </row>
    <row r="519" s="151" customFormat="1" ht="15.95" customHeight="1" spans="1:5">
      <c r="A519" s="173" t="s">
        <v>449</v>
      </c>
      <c r="B519" s="171">
        <v>62</v>
      </c>
      <c r="C519" s="171"/>
      <c r="D519" s="171"/>
      <c r="E519" s="172">
        <f t="shared" si="35"/>
        <v>0</v>
      </c>
    </row>
    <row r="520" s="151" customFormat="1" ht="15.95" customHeight="1" spans="1:5">
      <c r="A520" s="173" t="s">
        <v>450</v>
      </c>
      <c r="B520" s="171">
        <v>4065</v>
      </c>
      <c r="C520" s="171">
        <v>36</v>
      </c>
      <c r="D520" s="171">
        <v>36</v>
      </c>
      <c r="E520" s="172">
        <f t="shared" si="35"/>
        <v>0.00885608856088561</v>
      </c>
    </row>
    <row r="521" s="151" customFormat="1" ht="15.95" customHeight="1" spans="1:5">
      <c r="A521" s="179" t="s">
        <v>451</v>
      </c>
      <c r="B521" s="174">
        <v>40</v>
      </c>
      <c r="C521" s="174">
        <v>65</v>
      </c>
      <c r="D521" s="174">
        <v>65</v>
      </c>
      <c r="E521" s="165">
        <f t="shared" si="35"/>
        <v>1.625</v>
      </c>
    </row>
    <row r="522" s="151" customFormat="1" ht="15.95" hidden="1" customHeight="1" spans="1:5">
      <c r="A522" s="173" t="s">
        <v>107</v>
      </c>
      <c r="B522" s="171">
        <v>0</v>
      </c>
      <c r="C522" s="171"/>
      <c r="D522" s="171"/>
      <c r="E522" s="165"/>
    </row>
    <row r="523" s="151" customFormat="1" ht="15.95" hidden="1" customHeight="1" spans="1:5">
      <c r="A523" s="173" t="s">
        <v>108</v>
      </c>
      <c r="B523" s="171">
        <v>0</v>
      </c>
      <c r="C523" s="171"/>
      <c r="D523" s="171"/>
      <c r="E523" s="165"/>
    </row>
    <row r="524" s="151" customFormat="1" ht="15.95" hidden="1" customHeight="1" spans="1:5">
      <c r="A524" s="176" t="s">
        <v>109</v>
      </c>
      <c r="B524" s="178">
        <v>0</v>
      </c>
      <c r="C524" s="178"/>
      <c r="D524" s="178"/>
      <c r="E524" s="165"/>
    </row>
    <row r="525" s="151" customFormat="1" ht="15.95" hidden="1" customHeight="1" spans="1:5">
      <c r="A525" s="173" t="s">
        <v>452</v>
      </c>
      <c r="B525" s="171">
        <v>0</v>
      </c>
      <c r="C525" s="171"/>
      <c r="D525" s="171"/>
      <c r="E525" s="165"/>
    </row>
    <row r="526" s="151" customFormat="1" ht="15.95" customHeight="1" spans="1:5">
      <c r="A526" s="173" t="s">
        <v>453</v>
      </c>
      <c r="B526" s="171">
        <v>40</v>
      </c>
      <c r="C526" s="171">
        <v>65</v>
      </c>
      <c r="D526" s="171">
        <v>65</v>
      </c>
      <c r="E526" s="172">
        <f>D526/B526</f>
        <v>1.625</v>
      </c>
    </row>
    <row r="527" s="151" customFormat="1" ht="15.95" hidden="1" customHeight="1" spans="1:5">
      <c r="A527" s="173" t="s">
        <v>454</v>
      </c>
      <c r="B527" s="171">
        <v>0</v>
      </c>
      <c r="C527" s="171"/>
      <c r="D527" s="171"/>
      <c r="E527" s="165"/>
    </row>
    <row r="528" s="151" customFormat="1" ht="15.95" hidden="1" customHeight="1" spans="1:5">
      <c r="A528" s="173" t="s">
        <v>455</v>
      </c>
      <c r="B528" s="171">
        <v>0</v>
      </c>
      <c r="C528" s="171"/>
      <c r="D528" s="171"/>
      <c r="E528" s="165"/>
    </row>
    <row r="529" s="151" customFormat="1" ht="15.95" customHeight="1" spans="1:5">
      <c r="A529" s="179" t="s">
        <v>456</v>
      </c>
      <c r="B529" s="174">
        <v>229</v>
      </c>
      <c r="C529" s="174">
        <v>109</v>
      </c>
      <c r="D529" s="174">
        <f>SUM(D530:D539)</f>
        <v>106</v>
      </c>
      <c r="E529" s="165">
        <f>D529/B529</f>
        <v>0.462882096069869</v>
      </c>
    </row>
    <row r="530" s="151" customFormat="1" ht="15.95" hidden="1" customHeight="1" spans="1:5">
      <c r="A530" s="173" t="s">
        <v>107</v>
      </c>
      <c r="B530" s="171">
        <v>0</v>
      </c>
      <c r="C530" s="171"/>
      <c r="D530" s="171"/>
      <c r="E530" s="165"/>
    </row>
    <row r="531" s="151" customFormat="1" ht="15.95" hidden="1" customHeight="1" spans="1:5">
      <c r="A531" s="173" t="s">
        <v>108</v>
      </c>
      <c r="B531" s="171">
        <v>0</v>
      </c>
      <c r="C531" s="171"/>
      <c r="D531" s="171"/>
      <c r="E531" s="165"/>
    </row>
    <row r="532" s="151" customFormat="1" ht="15.95" hidden="1" customHeight="1" spans="1:5">
      <c r="A532" s="173" t="s">
        <v>109</v>
      </c>
      <c r="B532" s="171">
        <v>0</v>
      </c>
      <c r="C532" s="171"/>
      <c r="D532" s="171"/>
      <c r="E532" s="165"/>
    </row>
    <row r="533" s="151" customFormat="1" ht="15.95" hidden="1" customHeight="1" spans="1:5">
      <c r="A533" s="176" t="s">
        <v>457</v>
      </c>
      <c r="B533" s="178">
        <v>0</v>
      </c>
      <c r="C533" s="178"/>
      <c r="D533" s="178"/>
      <c r="E533" s="165"/>
    </row>
    <row r="534" s="151" customFormat="1" ht="15.95" customHeight="1" spans="1:5">
      <c r="A534" s="173" t="s">
        <v>458</v>
      </c>
      <c r="B534" s="171">
        <v>51</v>
      </c>
      <c r="C534" s="171"/>
      <c r="D534" s="171"/>
      <c r="E534" s="172">
        <f t="shared" ref="E534:E537" si="36">D534/B534</f>
        <v>0</v>
      </c>
    </row>
    <row r="535" s="151" customFormat="1" ht="15.95" customHeight="1" spans="1:5">
      <c r="A535" s="173" t="s">
        <v>459</v>
      </c>
      <c r="B535" s="171">
        <v>7</v>
      </c>
      <c r="C535" s="171">
        <v>10</v>
      </c>
      <c r="D535" s="171">
        <v>10</v>
      </c>
      <c r="E535" s="172">
        <f t="shared" si="36"/>
        <v>1.42857142857143</v>
      </c>
    </row>
    <row r="536" s="151" customFormat="1" ht="15.95" customHeight="1" spans="1:5">
      <c r="A536" s="173" t="s">
        <v>460</v>
      </c>
      <c r="B536" s="171">
        <v>50</v>
      </c>
      <c r="C536" s="171"/>
      <c r="D536" s="171"/>
      <c r="E536" s="172">
        <f t="shared" si="36"/>
        <v>0</v>
      </c>
    </row>
    <row r="537" s="151" customFormat="1" ht="15.95" customHeight="1" spans="1:5">
      <c r="A537" s="173" t="s">
        <v>461</v>
      </c>
      <c r="B537" s="171">
        <v>121</v>
      </c>
      <c r="C537" s="171">
        <v>99</v>
      </c>
      <c r="D537" s="171">
        <f>99-3</f>
        <v>96</v>
      </c>
      <c r="E537" s="172">
        <f t="shared" si="36"/>
        <v>0.793388429752066</v>
      </c>
    </row>
    <row r="538" s="151" customFormat="1" ht="15.95" hidden="1" customHeight="1" spans="1:5">
      <c r="A538" s="173" t="s">
        <v>462</v>
      </c>
      <c r="B538" s="171">
        <v>0</v>
      </c>
      <c r="C538" s="171"/>
      <c r="D538" s="171"/>
      <c r="E538" s="165"/>
    </row>
    <row r="539" s="151" customFormat="1" ht="15.95" hidden="1" customHeight="1" spans="1:5">
      <c r="A539" s="173" t="s">
        <v>463</v>
      </c>
      <c r="B539" s="171">
        <v>0</v>
      </c>
      <c r="C539" s="171"/>
      <c r="D539" s="171"/>
      <c r="E539" s="165"/>
    </row>
    <row r="540" s="151" customFormat="1" ht="15.95" hidden="1" customHeight="1" spans="1:5">
      <c r="A540" s="179" t="s">
        <v>464</v>
      </c>
      <c r="B540" s="174">
        <v>0</v>
      </c>
      <c r="C540" s="174">
        <v>0</v>
      </c>
      <c r="D540" s="174">
        <v>0</v>
      </c>
      <c r="E540" s="165"/>
    </row>
    <row r="541" s="151" customFormat="1" ht="15.95" hidden="1" customHeight="1" spans="1:5">
      <c r="A541" s="176" t="s">
        <v>107</v>
      </c>
      <c r="B541" s="178"/>
      <c r="C541" s="178"/>
      <c r="D541" s="178"/>
      <c r="E541" s="165"/>
    </row>
    <row r="542" s="151" customFormat="1" ht="15.95" hidden="1" customHeight="1" spans="1:5">
      <c r="A542" s="173" t="s">
        <v>108</v>
      </c>
      <c r="B542" s="171"/>
      <c r="C542" s="171"/>
      <c r="D542" s="171"/>
      <c r="E542" s="165"/>
    </row>
    <row r="543" s="151" customFormat="1" ht="15.95" hidden="1" customHeight="1" spans="1:5">
      <c r="A543" s="173" t="s">
        <v>109</v>
      </c>
      <c r="B543" s="171"/>
      <c r="C543" s="171"/>
      <c r="D543" s="171"/>
      <c r="E543" s="165"/>
    </row>
    <row r="544" s="151" customFormat="1" ht="15.95" hidden="1" customHeight="1" spans="1:5">
      <c r="A544" s="173" t="s">
        <v>465</v>
      </c>
      <c r="B544" s="171"/>
      <c r="C544" s="171"/>
      <c r="D544" s="171"/>
      <c r="E544" s="165"/>
    </row>
    <row r="545" s="151" customFormat="1" ht="15.95" hidden="1" customHeight="1" spans="1:5">
      <c r="A545" s="176" t="s">
        <v>466</v>
      </c>
      <c r="B545" s="178"/>
      <c r="C545" s="178"/>
      <c r="D545" s="178"/>
      <c r="E545" s="165"/>
    </row>
    <row r="546" s="151" customFormat="1" ht="15.95" hidden="1" customHeight="1" spans="1:5">
      <c r="A546" s="176" t="s">
        <v>467</v>
      </c>
      <c r="B546" s="178"/>
      <c r="C546" s="178"/>
      <c r="D546" s="178"/>
      <c r="E546" s="165"/>
    </row>
    <row r="547" s="151" customFormat="1" ht="15.95" hidden="1" customHeight="1" spans="1:5">
      <c r="A547" s="173" t="s">
        <v>468</v>
      </c>
      <c r="B547" s="171"/>
      <c r="C547" s="171"/>
      <c r="D547" s="171"/>
      <c r="E547" s="165"/>
    </row>
    <row r="548" s="151" customFormat="1" ht="15.95" hidden="1" customHeight="1" spans="1:5">
      <c r="A548" s="173" t="s">
        <v>469</v>
      </c>
      <c r="B548" s="171"/>
      <c r="C548" s="171"/>
      <c r="D548" s="171"/>
      <c r="E548" s="165"/>
    </row>
    <row r="549" s="151" customFormat="1" ht="15.95" customHeight="1" spans="1:5">
      <c r="A549" s="179" t="s">
        <v>470</v>
      </c>
      <c r="B549" s="174">
        <v>1137</v>
      </c>
      <c r="C549" s="174">
        <v>641</v>
      </c>
      <c r="D549" s="174">
        <f>SUM(D550:D556)</f>
        <v>596</v>
      </c>
      <c r="E549" s="165">
        <f>D549/B549</f>
        <v>0.524186455584872</v>
      </c>
    </row>
    <row r="550" s="151" customFormat="1" ht="15.95" hidden="1" customHeight="1" spans="1:5">
      <c r="A550" s="173" t="s">
        <v>107</v>
      </c>
      <c r="B550" s="171">
        <v>0</v>
      </c>
      <c r="C550" s="171"/>
      <c r="D550" s="171"/>
      <c r="E550" s="165"/>
    </row>
    <row r="551" s="151" customFormat="1" ht="15.95" hidden="1" customHeight="1" spans="1:5">
      <c r="A551" s="173" t="s">
        <v>108</v>
      </c>
      <c r="B551" s="171">
        <v>0</v>
      </c>
      <c r="C551" s="171"/>
      <c r="D551" s="171"/>
      <c r="E551" s="165"/>
    </row>
    <row r="552" s="151" customFormat="1" ht="15.95" hidden="1" customHeight="1" spans="1:5">
      <c r="A552" s="173" t="s">
        <v>109</v>
      </c>
      <c r="B552" s="171">
        <v>0</v>
      </c>
      <c r="C552" s="171"/>
      <c r="D552" s="171"/>
      <c r="E552" s="165"/>
    </row>
    <row r="553" s="151" customFormat="1" ht="15.95" hidden="1" customHeight="1" spans="1:5">
      <c r="A553" s="173" t="s">
        <v>471</v>
      </c>
      <c r="B553" s="171">
        <v>0</v>
      </c>
      <c r="C553" s="171"/>
      <c r="D553" s="171"/>
      <c r="E553" s="165"/>
    </row>
    <row r="554" s="151" customFormat="1" ht="15.95" hidden="1" customHeight="1" spans="1:5">
      <c r="A554" s="173" t="s">
        <v>472</v>
      </c>
      <c r="B554" s="171">
        <v>0</v>
      </c>
      <c r="C554" s="171"/>
      <c r="D554" s="171"/>
      <c r="E554" s="165"/>
    </row>
    <row r="555" s="151" customFormat="1" ht="15.95" customHeight="1" spans="1:5">
      <c r="A555" s="173" t="s">
        <v>473</v>
      </c>
      <c r="B555" s="171">
        <v>774</v>
      </c>
      <c r="C555" s="171">
        <v>115</v>
      </c>
      <c r="D555" s="171">
        <v>115</v>
      </c>
      <c r="E555" s="172">
        <f t="shared" ref="E555:E557" si="37">D555/B555</f>
        <v>0.148578811369509</v>
      </c>
    </row>
    <row r="556" s="151" customFormat="1" ht="15.95" customHeight="1" spans="1:5">
      <c r="A556" s="173" t="s">
        <v>474</v>
      </c>
      <c r="B556" s="171">
        <v>363</v>
      </c>
      <c r="C556" s="171">
        <v>526</v>
      </c>
      <c r="D556" s="171">
        <f>526-45</f>
        <v>481</v>
      </c>
      <c r="E556" s="172">
        <f t="shared" si="37"/>
        <v>1.32506887052342</v>
      </c>
    </row>
    <row r="557" s="151" customFormat="1" ht="18.95" customHeight="1" spans="1:5">
      <c r="A557" s="179" t="s">
        <v>475</v>
      </c>
      <c r="B557" s="174">
        <v>683</v>
      </c>
      <c r="C557" s="174">
        <v>1606</v>
      </c>
      <c r="D557" s="174">
        <v>1606</v>
      </c>
      <c r="E557" s="165">
        <f t="shared" si="37"/>
        <v>2.35139092240117</v>
      </c>
    </row>
    <row r="558" s="151" customFormat="1" ht="15.95" hidden="1" customHeight="1" spans="1:5">
      <c r="A558" s="173" t="s">
        <v>476</v>
      </c>
      <c r="B558" s="171">
        <v>0</v>
      </c>
      <c r="C558" s="171"/>
      <c r="D558" s="171"/>
      <c r="E558" s="172"/>
    </row>
    <row r="559" s="151" customFormat="1" ht="15.95" customHeight="1" spans="1:5">
      <c r="A559" s="173" t="s">
        <v>477</v>
      </c>
      <c r="B559" s="171">
        <v>1</v>
      </c>
      <c r="C559" s="171"/>
      <c r="D559" s="171"/>
      <c r="E559" s="172">
        <f t="shared" ref="E559:E563" si="38">D559/B559</f>
        <v>0</v>
      </c>
    </row>
    <row r="560" s="151" customFormat="1" ht="20.1" customHeight="1" spans="1:5">
      <c r="A560" s="173" t="s">
        <v>478</v>
      </c>
      <c r="B560" s="171">
        <v>682</v>
      </c>
      <c r="C560" s="171">
        <v>1606</v>
      </c>
      <c r="D560" s="171">
        <v>1606</v>
      </c>
      <c r="E560" s="172">
        <f t="shared" si="38"/>
        <v>2.35483870967742</v>
      </c>
    </row>
    <row r="561" s="151" customFormat="1" ht="15" customHeight="1" spans="1:5">
      <c r="A561" s="179" t="s">
        <v>479</v>
      </c>
      <c r="B561" s="174">
        <v>84187</v>
      </c>
      <c r="C561" s="174">
        <f>C562+C581+C591+C604+C614+C623+C630+C638+C653+C656+C659+C668+C676+C685+C688</f>
        <v>93611</v>
      </c>
      <c r="D561" s="174">
        <f>D562+D581+D591+D604+D614+D623+D630+D638+D653+D656+D659+D668+D676+D685+D688</f>
        <v>90870</v>
      </c>
      <c r="E561" s="165">
        <f t="shared" si="38"/>
        <v>1.07938280257047</v>
      </c>
    </row>
    <row r="562" s="151" customFormat="1" customHeight="1" spans="1:5">
      <c r="A562" s="179" t="s">
        <v>480</v>
      </c>
      <c r="B562" s="174">
        <v>1077</v>
      </c>
      <c r="C562" s="174">
        <v>1458</v>
      </c>
      <c r="D562" s="174">
        <v>1458</v>
      </c>
      <c r="E562" s="165">
        <f t="shared" si="38"/>
        <v>1.35376044568245</v>
      </c>
    </row>
    <row r="563" s="151" customFormat="1" ht="15.95" customHeight="1" spans="1:5">
      <c r="A563" s="173" t="s">
        <v>107</v>
      </c>
      <c r="B563" s="171">
        <v>1045</v>
      </c>
      <c r="C563" s="171">
        <v>1415</v>
      </c>
      <c r="D563" s="171">
        <v>1415</v>
      </c>
      <c r="E563" s="172">
        <f t="shared" si="38"/>
        <v>1.35406698564593</v>
      </c>
    </row>
    <row r="564" s="151" customFormat="1" ht="15.95" hidden="1" customHeight="1" spans="1:5">
      <c r="A564" s="173" t="s">
        <v>108</v>
      </c>
      <c r="B564" s="171">
        <v>0</v>
      </c>
      <c r="C564" s="171"/>
      <c r="D564" s="171"/>
      <c r="E564" s="172"/>
    </row>
    <row r="565" s="151" customFormat="1" ht="15.95" hidden="1" customHeight="1" spans="1:5">
      <c r="A565" s="176" t="s">
        <v>109</v>
      </c>
      <c r="B565" s="178">
        <v>0</v>
      </c>
      <c r="C565" s="178"/>
      <c r="D565" s="178"/>
      <c r="E565" s="172"/>
    </row>
    <row r="566" s="151" customFormat="1" ht="15.95" hidden="1" customHeight="1" spans="1:5">
      <c r="A566" s="173" t="s">
        <v>481</v>
      </c>
      <c r="B566" s="171">
        <v>0</v>
      </c>
      <c r="C566" s="171"/>
      <c r="D566" s="171"/>
      <c r="E566" s="172"/>
    </row>
    <row r="567" s="151" customFormat="1" ht="15.95" hidden="1" customHeight="1" spans="1:5">
      <c r="A567" s="173" t="s">
        <v>482</v>
      </c>
      <c r="B567" s="171">
        <v>0</v>
      </c>
      <c r="C567" s="171"/>
      <c r="D567" s="171"/>
      <c r="E567" s="172"/>
    </row>
    <row r="568" s="151" customFormat="1" ht="15.95" hidden="1" customHeight="1" spans="1:5">
      <c r="A568" s="173" t="s">
        <v>483</v>
      </c>
      <c r="B568" s="171">
        <v>0</v>
      </c>
      <c r="C568" s="171"/>
      <c r="D568" s="171"/>
      <c r="E568" s="172"/>
    </row>
    <row r="569" s="151" customFormat="1" ht="15.95" hidden="1" customHeight="1" spans="1:5">
      <c r="A569" s="173" t="s">
        <v>484</v>
      </c>
      <c r="B569" s="171">
        <v>0</v>
      </c>
      <c r="C569" s="171"/>
      <c r="D569" s="171"/>
      <c r="E569" s="172"/>
    </row>
    <row r="570" s="151" customFormat="1" ht="15.95" hidden="1" customHeight="1" spans="1:5">
      <c r="A570" s="173" t="s">
        <v>147</v>
      </c>
      <c r="B570" s="171">
        <v>0</v>
      </c>
      <c r="C570" s="171"/>
      <c r="D570" s="171"/>
      <c r="E570" s="172"/>
    </row>
    <row r="571" s="151" customFormat="1" ht="15.95" hidden="1" customHeight="1" spans="1:5">
      <c r="A571" s="173" t="s">
        <v>485</v>
      </c>
      <c r="B571" s="171">
        <v>0</v>
      </c>
      <c r="C571" s="171"/>
      <c r="D571" s="171"/>
      <c r="E571" s="172"/>
    </row>
    <row r="572" s="151" customFormat="1" ht="15.95" hidden="1" customHeight="1" spans="1:5">
      <c r="A572" s="173" t="s">
        <v>486</v>
      </c>
      <c r="B572" s="171">
        <v>0</v>
      </c>
      <c r="C572" s="171"/>
      <c r="D572" s="171"/>
      <c r="E572" s="172"/>
    </row>
    <row r="573" s="151" customFormat="1" ht="24" hidden="1" customHeight="1" spans="1:5">
      <c r="A573" s="176" t="s">
        <v>487</v>
      </c>
      <c r="B573" s="178">
        <v>0</v>
      </c>
      <c r="C573" s="178"/>
      <c r="D573" s="178"/>
      <c r="E573" s="172"/>
    </row>
    <row r="574" s="151" customFormat="1" ht="15.95" hidden="1" customHeight="1" spans="1:5">
      <c r="A574" s="173" t="s">
        <v>488</v>
      </c>
      <c r="B574" s="171">
        <v>0</v>
      </c>
      <c r="C574" s="171"/>
      <c r="D574" s="171"/>
      <c r="E574" s="172"/>
    </row>
    <row r="575" s="151" customFormat="1" ht="15.95" hidden="1" customHeight="1" spans="1:5">
      <c r="A575" s="176" t="s">
        <v>489</v>
      </c>
      <c r="B575" s="178">
        <v>0</v>
      </c>
      <c r="C575" s="178"/>
      <c r="D575" s="178"/>
      <c r="E575" s="172"/>
    </row>
    <row r="576" s="151" customFormat="1" ht="15.95" hidden="1" customHeight="1" spans="1:5">
      <c r="A576" s="173" t="s">
        <v>490</v>
      </c>
      <c r="B576" s="171">
        <v>0</v>
      </c>
      <c r="C576" s="171"/>
      <c r="D576" s="171"/>
      <c r="E576" s="172"/>
    </row>
    <row r="577" s="151" customFormat="1" ht="15.95" hidden="1" customHeight="1" spans="1:5">
      <c r="A577" s="173" t="s">
        <v>491</v>
      </c>
      <c r="B577" s="171">
        <v>0</v>
      </c>
      <c r="C577" s="171"/>
      <c r="D577" s="171"/>
      <c r="E577" s="172"/>
    </row>
    <row r="578" s="151" customFormat="1" ht="15.95" hidden="1" customHeight="1" spans="1:5">
      <c r="A578" s="173" t="s">
        <v>492</v>
      </c>
      <c r="B578" s="171">
        <v>0</v>
      </c>
      <c r="C578" s="171"/>
      <c r="D578" s="171"/>
      <c r="E578" s="172"/>
    </row>
    <row r="579" s="151" customFormat="1" ht="15.95" customHeight="1" spans="1:5">
      <c r="A579" s="173" t="s">
        <v>116</v>
      </c>
      <c r="B579" s="171">
        <v>32</v>
      </c>
      <c r="C579" s="171">
        <v>39</v>
      </c>
      <c r="D579" s="171">
        <v>39</v>
      </c>
      <c r="E579" s="172">
        <f t="shared" ref="E579:E582" si="39">D579/B579</f>
        <v>1.21875</v>
      </c>
    </row>
    <row r="580" s="151" customFormat="1" ht="15" customHeight="1" spans="1:5">
      <c r="A580" s="173" t="s">
        <v>493</v>
      </c>
      <c r="B580" s="171">
        <v>0</v>
      </c>
      <c r="C580" s="171">
        <v>4</v>
      </c>
      <c r="D580" s="171">
        <v>4</v>
      </c>
      <c r="E580" s="165"/>
    </row>
    <row r="581" s="151" customFormat="1" ht="15.95" customHeight="1" spans="1:5">
      <c r="A581" s="179" t="s">
        <v>494</v>
      </c>
      <c r="B581" s="174">
        <v>229</v>
      </c>
      <c r="C581" s="174">
        <v>919</v>
      </c>
      <c r="D581" s="174">
        <v>919</v>
      </c>
      <c r="E581" s="165">
        <f t="shared" si="39"/>
        <v>4.01310043668122</v>
      </c>
    </row>
    <row r="582" s="151" customFormat="1" ht="15.95" customHeight="1" spans="1:5">
      <c r="A582" s="173" t="s">
        <v>107</v>
      </c>
      <c r="B582" s="171">
        <v>229</v>
      </c>
      <c r="C582" s="171">
        <v>260</v>
      </c>
      <c r="D582" s="171">
        <v>260</v>
      </c>
      <c r="E582" s="172">
        <f t="shared" si="39"/>
        <v>1.1353711790393</v>
      </c>
    </row>
    <row r="583" s="151" customFormat="1" ht="15.95" hidden="1" customHeight="1" spans="1:5">
      <c r="A583" s="173" t="s">
        <v>108</v>
      </c>
      <c r="B583" s="171">
        <v>0</v>
      </c>
      <c r="C583" s="171"/>
      <c r="D583" s="171"/>
      <c r="E583" s="165"/>
    </row>
    <row r="584" s="151" customFormat="1" ht="15.95" hidden="1" customHeight="1" spans="1:5">
      <c r="A584" s="176" t="s">
        <v>109</v>
      </c>
      <c r="B584" s="178">
        <v>0</v>
      </c>
      <c r="C584" s="178"/>
      <c r="D584" s="178"/>
      <c r="E584" s="165"/>
    </row>
    <row r="585" s="151" customFormat="1" ht="15.95" hidden="1" customHeight="1" spans="1:5">
      <c r="A585" s="173" t="s">
        <v>495</v>
      </c>
      <c r="B585" s="171">
        <v>0</v>
      </c>
      <c r="C585" s="171"/>
      <c r="D585" s="171"/>
      <c r="E585" s="165"/>
    </row>
    <row r="586" s="151" customFormat="1" ht="15.95" hidden="1" customHeight="1" spans="1:5">
      <c r="A586" s="173" t="s">
        <v>496</v>
      </c>
      <c r="B586" s="171">
        <v>0</v>
      </c>
      <c r="C586" s="171"/>
      <c r="D586" s="171"/>
      <c r="E586" s="165"/>
    </row>
    <row r="587" s="151" customFormat="1" ht="15.95" hidden="1" customHeight="1" spans="1:5">
      <c r="A587" s="173" t="s">
        <v>497</v>
      </c>
      <c r="B587" s="171">
        <v>0</v>
      </c>
      <c r="C587" s="171"/>
      <c r="D587" s="171"/>
      <c r="E587" s="165"/>
    </row>
    <row r="588" s="151" customFormat="1" ht="15.95" customHeight="1" spans="1:5">
      <c r="A588" s="176" t="s">
        <v>498</v>
      </c>
      <c r="B588" s="178">
        <v>0</v>
      </c>
      <c r="C588" s="178">
        <v>659</v>
      </c>
      <c r="D588" s="178">
        <v>659</v>
      </c>
      <c r="E588" s="165"/>
    </row>
    <row r="589" s="151" customFormat="1" ht="15.95" hidden="1" customHeight="1" spans="1:5">
      <c r="A589" s="179" t="s">
        <v>499</v>
      </c>
      <c r="B589" s="174">
        <v>0</v>
      </c>
      <c r="C589" s="174">
        <v>0</v>
      </c>
      <c r="D589" s="174">
        <v>0</v>
      </c>
      <c r="E589" s="165"/>
    </row>
    <row r="590" s="151" customFormat="1" ht="15.95" hidden="1" customHeight="1" spans="1:5">
      <c r="A590" s="173" t="s">
        <v>500</v>
      </c>
      <c r="B590" s="171"/>
      <c r="C590" s="171"/>
      <c r="D590" s="171"/>
      <c r="E590" s="165"/>
    </row>
    <row r="591" s="151" customFormat="1" ht="15.95" customHeight="1" spans="1:5">
      <c r="A591" s="179" t="s">
        <v>501</v>
      </c>
      <c r="B591" s="174">
        <v>50840</v>
      </c>
      <c r="C591" s="174">
        <v>52176</v>
      </c>
      <c r="D591" s="174">
        <f>SUM(D592:D599)</f>
        <v>51598</v>
      </c>
      <c r="E591" s="165">
        <f t="shared" ref="E591:E593" si="40">D591/B591</f>
        <v>1.01490952006294</v>
      </c>
    </row>
    <row r="592" s="151" customFormat="1" ht="15.95" customHeight="1" spans="1:5">
      <c r="A592" s="173" t="s">
        <v>502</v>
      </c>
      <c r="B592" s="171">
        <v>92</v>
      </c>
      <c r="C592" s="171">
        <v>2505</v>
      </c>
      <c r="D592" s="171">
        <v>2505</v>
      </c>
      <c r="E592" s="172">
        <f t="shared" si="40"/>
        <v>27.2282608695652</v>
      </c>
    </row>
    <row r="593" s="151" customFormat="1" ht="15.95" customHeight="1" spans="1:5">
      <c r="A593" s="173" t="s">
        <v>503</v>
      </c>
      <c r="B593" s="171">
        <v>33</v>
      </c>
      <c r="C593" s="171">
        <v>14</v>
      </c>
      <c r="D593" s="171">
        <f>14-3</f>
        <v>11</v>
      </c>
      <c r="E593" s="172">
        <f t="shared" si="40"/>
        <v>0.333333333333333</v>
      </c>
    </row>
    <row r="594" s="151" customFormat="1" ht="15.95" customHeight="1" spans="1:5">
      <c r="A594" s="173" t="s">
        <v>504</v>
      </c>
      <c r="B594" s="171">
        <v>0</v>
      </c>
      <c r="C594" s="171"/>
      <c r="D594" s="171"/>
      <c r="E594" s="172"/>
    </row>
    <row r="595" s="151" customFormat="1" ht="17.1" customHeight="1" spans="1:5">
      <c r="A595" s="173" t="s">
        <v>505</v>
      </c>
      <c r="B595" s="171">
        <v>15169</v>
      </c>
      <c r="C595" s="171">
        <v>15594</v>
      </c>
      <c r="D595" s="171">
        <f>15594-480</f>
        <v>15114</v>
      </c>
      <c r="E595" s="172">
        <f t="shared" ref="E595:E597" si="41">D595/B595</f>
        <v>0.996374184191443</v>
      </c>
    </row>
    <row r="596" s="151" customFormat="1" ht="17.1" customHeight="1" spans="1:5">
      <c r="A596" s="173" t="s">
        <v>506</v>
      </c>
      <c r="B596" s="171">
        <v>14903</v>
      </c>
      <c r="C596" s="171">
        <v>9579</v>
      </c>
      <c r="D596" s="171">
        <f>9579-95</f>
        <v>9484</v>
      </c>
      <c r="E596" s="172">
        <f t="shared" si="41"/>
        <v>0.636381936522848</v>
      </c>
    </row>
    <row r="597" s="151" customFormat="1" ht="17.1" customHeight="1" spans="1:5">
      <c r="A597" s="173" t="s">
        <v>507</v>
      </c>
      <c r="B597" s="171">
        <v>9690</v>
      </c>
      <c r="C597" s="171">
        <v>12669</v>
      </c>
      <c r="D597" s="171">
        <v>12669</v>
      </c>
      <c r="E597" s="172">
        <f t="shared" si="41"/>
        <v>1.30743034055728</v>
      </c>
    </row>
    <row r="598" s="151" customFormat="1" ht="17.1" customHeight="1" spans="1:5">
      <c r="A598" s="176" t="s">
        <v>508</v>
      </c>
      <c r="B598" s="178">
        <v>0</v>
      </c>
      <c r="C598" s="178"/>
      <c r="D598" s="178"/>
      <c r="E598" s="172"/>
    </row>
    <row r="599" s="151" customFormat="1" ht="15.95" customHeight="1" spans="1:5">
      <c r="A599" s="173" t="s">
        <v>509</v>
      </c>
      <c r="B599" s="171">
        <v>10953</v>
      </c>
      <c r="C599" s="171">
        <v>11815</v>
      </c>
      <c r="D599" s="171">
        <v>11815</v>
      </c>
      <c r="E599" s="172">
        <f>D599/B599</f>
        <v>1.07869989957089</v>
      </c>
    </row>
    <row r="600" s="151" customFormat="1" ht="15.95" hidden="1" customHeight="1" spans="1:5">
      <c r="A600" s="179" t="s">
        <v>510</v>
      </c>
      <c r="B600" s="174">
        <v>0</v>
      </c>
      <c r="C600" s="174">
        <v>0</v>
      </c>
      <c r="D600" s="174">
        <v>0</v>
      </c>
      <c r="E600" s="165"/>
    </row>
    <row r="601" s="151" customFormat="1" ht="15.95" hidden="1" customHeight="1" spans="1:5">
      <c r="A601" s="173" t="s">
        <v>511</v>
      </c>
      <c r="B601" s="171"/>
      <c r="C601" s="171"/>
      <c r="D601" s="171"/>
      <c r="E601" s="165"/>
    </row>
    <row r="602" s="151" customFormat="1" ht="15.95" hidden="1" customHeight="1" spans="1:5">
      <c r="A602" s="173" t="s">
        <v>512</v>
      </c>
      <c r="B602" s="171"/>
      <c r="C602" s="171"/>
      <c r="D602" s="171"/>
      <c r="E602" s="165"/>
    </row>
    <row r="603" s="151" customFormat="1" ht="15.95" hidden="1" customHeight="1" spans="1:5">
      <c r="A603" s="173" t="s">
        <v>513</v>
      </c>
      <c r="B603" s="171"/>
      <c r="C603" s="171"/>
      <c r="D603" s="171"/>
      <c r="E603" s="165"/>
    </row>
    <row r="604" s="151" customFormat="1" ht="15.95" customHeight="1" spans="1:5">
      <c r="A604" s="179" t="s">
        <v>514</v>
      </c>
      <c r="B604" s="174">
        <v>3847</v>
      </c>
      <c r="C604" s="174">
        <v>4718</v>
      </c>
      <c r="D604" s="174">
        <v>4718</v>
      </c>
      <c r="E604" s="165">
        <f t="shared" ref="E604:E618" si="42">D604/B604</f>
        <v>1.22641018975825</v>
      </c>
    </row>
    <row r="605" s="151" customFormat="1" ht="15.95" customHeight="1" spans="1:5">
      <c r="A605" s="173" t="s">
        <v>515</v>
      </c>
      <c r="B605" s="171">
        <v>429</v>
      </c>
      <c r="C605" s="171">
        <v>826</v>
      </c>
      <c r="D605" s="171">
        <v>826</v>
      </c>
      <c r="E605" s="172">
        <f t="shared" si="42"/>
        <v>1.92540792540793</v>
      </c>
    </row>
    <row r="606" s="151" customFormat="1" ht="15.95" customHeight="1" spans="1:5">
      <c r="A606" s="173" t="s">
        <v>516</v>
      </c>
      <c r="B606" s="171">
        <v>979</v>
      </c>
      <c r="C606" s="171">
        <v>865</v>
      </c>
      <c r="D606" s="171">
        <v>865</v>
      </c>
      <c r="E606" s="172">
        <f t="shared" si="42"/>
        <v>0.883554647599591</v>
      </c>
    </row>
    <row r="607" s="151" customFormat="1" ht="15.95" customHeight="1" spans="1:5">
      <c r="A607" s="176" t="s">
        <v>517</v>
      </c>
      <c r="B607" s="178">
        <v>542</v>
      </c>
      <c r="C607" s="178">
        <v>879</v>
      </c>
      <c r="D607" s="178">
        <v>879</v>
      </c>
      <c r="E607" s="172">
        <f t="shared" si="42"/>
        <v>1.62177121771218</v>
      </c>
    </row>
    <row r="608" s="151" customFormat="1" ht="15.95" customHeight="1" spans="1:5">
      <c r="A608" s="173" t="s">
        <v>518</v>
      </c>
      <c r="B608" s="171">
        <v>728</v>
      </c>
      <c r="C608" s="171">
        <v>1018</v>
      </c>
      <c r="D608" s="171">
        <v>1018</v>
      </c>
      <c r="E608" s="172">
        <f t="shared" si="42"/>
        <v>1.39835164835165</v>
      </c>
    </row>
    <row r="609" s="151" customFormat="1" ht="15.95" customHeight="1" spans="1:5">
      <c r="A609" s="173" t="s">
        <v>519</v>
      </c>
      <c r="B609" s="171">
        <v>101</v>
      </c>
      <c r="C609" s="171">
        <v>56</v>
      </c>
      <c r="D609" s="171">
        <v>56</v>
      </c>
      <c r="E609" s="172">
        <f t="shared" si="42"/>
        <v>0.554455445544555</v>
      </c>
    </row>
    <row r="610" s="151" customFormat="1" ht="15.95" customHeight="1" spans="1:5">
      <c r="A610" s="173" t="s">
        <v>520</v>
      </c>
      <c r="B610" s="171">
        <v>10</v>
      </c>
      <c r="C610" s="171">
        <v>96</v>
      </c>
      <c r="D610" s="171">
        <v>96</v>
      </c>
      <c r="E610" s="172">
        <f t="shared" si="42"/>
        <v>9.6</v>
      </c>
    </row>
    <row r="611" s="151" customFormat="1" ht="15.95" customHeight="1" spans="1:5">
      <c r="A611" s="173" t="s">
        <v>521</v>
      </c>
      <c r="B611" s="171">
        <v>54</v>
      </c>
      <c r="C611" s="171">
        <v>0</v>
      </c>
      <c r="D611" s="171">
        <v>0</v>
      </c>
      <c r="E611" s="172">
        <f t="shared" si="42"/>
        <v>0</v>
      </c>
    </row>
    <row r="612" s="151" customFormat="1" ht="15.95" customHeight="1" spans="1:5">
      <c r="A612" s="173" t="s">
        <v>522</v>
      </c>
      <c r="B612" s="171">
        <v>3</v>
      </c>
      <c r="C612" s="171">
        <v>9</v>
      </c>
      <c r="D612" s="171">
        <v>9</v>
      </c>
      <c r="E612" s="172">
        <f t="shared" si="42"/>
        <v>3</v>
      </c>
    </row>
    <row r="613" s="151" customFormat="1" ht="15.95" customHeight="1" spans="1:5">
      <c r="A613" s="173" t="s">
        <v>523</v>
      </c>
      <c r="B613" s="171">
        <v>1001</v>
      </c>
      <c r="C613" s="171">
        <v>969</v>
      </c>
      <c r="D613" s="171">
        <v>969</v>
      </c>
      <c r="E613" s="172">
        <f t="shared" si="42"/>
        <v>0.968031968031968</v>
      </c>
    </row>
    <row r="614" s="151" customFormat="1" ht="15.95" customHeight="1" spans="1:5">
      <c r="A614" s="166" t="s">
        <v>524</v>
      </c>
      <c r="B614" s="167">
        <v>2485</v>
      </c>
      <c r="C614" s="167">
        <v>3405</v>
      </c>
      <c r="D614" s="167">
        <v>3405</v>
      </c>
      <c r="E614" s="165">
        <f t="shared" si="42"/>
        <v>1.37022132796781</v>
      </c>
    </row>
    <row r="615" s="151" customFormat="1" ht="15.95" customHeight="1" spans="1:5">
      <c r="A615" s="173" t="s">
        <v>525</v>
      </c>
      <c r="B615" s="171">
        <v>238</v>
      </c>
      <c r="C615" s="171">
        <v>195</v>
      </c>
      <c r="D615" s="171">
        <v>195</v>
      </c>
      <c r="E615" s="172">
        <f t="shared" si="42"/>
        <v>0.819327731092437</v>
      </c>
    </row>
    <row r="616" s="151" customFormat="1" ht="15.95" customHeight="1" spans="1:5">
      <c r="A616" s="173" t="s">
        <v>526</v>
      </c>
      <c r="B616" s="171">
        <v>11</v>
      </c>
      <c r="C616" s="171">
        <v>13</v>
      </c>
      <c r="D616" s="171">
        <v>13</v>
      </c>
      <c r="E616" s="172">
        <f t="shared" si="42"/>
        <v>1.18181818181818</v>
      </c>
    </row>
    <row r="617" s="151" customFormat="1" customHeight="1" spans="1:5">
      <c r="A617" s="173" t="s">
        <v>527</v>
      </c>
      <c r="B617" s="171">
        <v>985</v>
      </c>
      <c r="C617" s="171">
        <v>1167</v>
      </c>
      <c r="D617" s="171">
        <v>1167</v>
      </c>
      <c r="E617" s="172">
        <f t="shared" si="42"/>
        <v>1.18477157360406</v>
      </c>
    </row>
    <row r="618" s="151" customFormat="1" customHeight="1" spans="1:5">
      <c r="A618" s="173" t="s">
        <v>528</v>
      </c>
      <c r="B618" s="171">
        <v>592</v>
      </c>
      <c r="C618" s="171">
        <v>266</v>
      </c>
      <c r="D618" s="171">
        <v>266</v>
      </c>
      <c r="E618" s="172">
        <f t="shared" si="42"/>
        <v>0.449324324324324</v>
      </c>
    </row>
    <row r="619" s="151" customFormat="1" hidden="1" customHeight="1" spans="1:5">
      <c r="A619" s="173" t="s">
        <v>529</v>
      </c>
      <c r="B619" s="171">
        <v>0</v>
      </c>
      <c r="C619" s="171"/>
      <c r="D619" s="171"/>
      <c r="E619" s="172"/>
    </row>
    <row r="620" s="151" customFormat="1" ht="15.95" hidden="1" customHeight="1" spans="1:5">
      <c r="A620" s="173" t="s">
        <v>530</v>
      </c>
      <c r="B620" s="171">
        <v>0</v>
      </c>
      <c r="C620" s="171"/>
      <c r="D620" s="171"/>
      <c r="E620" s="172"/>
    </row>
    <row r="621" s="151" customFormat="1" ht="15.95" customHeight="1" spans="1:5">
      <c r="A621" s="173" t="s">
        <v>531</v>
      </c>
      <c r="B621" s="171">
        <v>136</v>
      </c>
      <c r="C621" s="171">
        <v>1255</v>
      </c>
      <c r="D621" s="171">
        <v>1255</v>
      </c>
      <c r="E621" s="172">
        <f t="shared" ref="E621:E632" si="43">D621/B621</f>
        <v>9.22794117647059</v>
      </c>
    </row>
    <row r="622" s="151" customFormat="1" ht="15.95" customHeight="1" spans="1:5">
      <c r="A622" s="176" t="s">
        <v>532</v>
      </c>
      <c r="B622" s="178">
        <v>523</v>
      </c>
      <c r="C622" s="178">
        <v>509</v>
      </c>
      <c r="D622" s="178">
        <v>509</v>
      </c>
      <c r="E622" s="172">
        <f t="shared" si="43"/>
        <v>0.973231357552581</v>
      </c>
    </row>
    <row r="623" s="151" customFormat="1" ht="15.95" customHeight="1" spans="1:5">
      <c r="A623" s="179" t="s">
        <v>533</v>
      </c>
      <c r="B623" s="174">
        <v>832</v>
      </c>
      <c r="C623" s="174">
        <v>755</v>
      </c>
      <c r="D623" s="174">
        <v>755</v>
      </c>
      <c r="E623" s="165">
        <f t="shared" si="43"/>
        <v>0.907451923076923</v>
      </c>
    </row>
    <row r="624" s="151" customFormat="1" ht="15.95" customHeight="1" spans="1:5">
      <c r="A624" s="173" t="s">
        <v>534</v>
      </c>
      <c r="B624" s="171">
        <v>456</v>
      </c>
      <c r="C624" s="171">
        <v>389</v>
      </c>
      <c r="D624" s="171">
        <v>389</v>
      </c>
      <c r="E624" s="172">
        <f t="shared" si="43"/>
        <v>0.853070175438597</v>
      </c>
    </row>
    <row r="625" s="151" customFormat="1" ht="15.95" customHeight="1" spans="1:5">
      <c r="A625" s="173" t="s">
        <v>535</v>
      </c>
      <c r="B625" s="171">
        <v>82</v>
      </c>
      <c r="C625" s="171">
        <v>159</v>
      </c>
      <c r="D625" s="171">
        <v>159</v>
      </c>
      <c r="E625" s="172">
        <f t="shared" si="43"/>
        <v>1.9390243902439</v>
      </c>
    </row>
    <row r="626" s="151" customFormat="1" ht="15.95" customHeight="1" spans="1:5">
      <c r="A626" s="173" t="s">
        <v>536</v>
      </c>
      <c r="B626" s="171">
        <v>3</v>
      </c>
      <c r="C626" s="171">
        <v>30</v>
      </c>
      <c r="D626" s="171">
        <v>30</v>
      </c>
      <c r="E626" s="172">
        <f t="shared" si="43"/>
        <v>10</v>
      </c>
    </row>
    <row r="627" s="151" customFormat="1" ht="15.95" customHeight="1" spans="1:5">
      <c r="A627" s="173" t="s">
        <v>537</v>
      </c>
      <c r="B627" s="171">
        <v>45</v>
      </c>
      <c r="C627" s="171">
        <v>112</v>
      </c>
      <c r="D627" s="171">
        <v>112</v>
      </c>
      <c r="E627" s="172">
        <f t="shared" si="43"/>
        <v>2.48888888888889</v>
      </c>
    </row>
    <row r="628" s="151" customFormat="1" ht="15.95" customHeight="1" spans="1:5">
      <c r="A628" s="173" t="s">
        <v>538</v>
      </c>
      <c r="B628" s="171">
        <v>3</v>
      </c>
      <c r="C628" s="171">
        <v>2</v>
      </c>
      <c r="D628" s="171">
        <v>2</v>
      </c>
      <c r="E628" s="172">
        <f t="shared" si="43"/>
        <v>0.666666666666667</v>
      </c>
    </row>
    <row r="629" s="151" customFormat="1" ht="15.95" customHeight="1" spans="1:5">
      <c r="A629" s="173" t="s">
        <v>539</v>
      </c>
      <c r="B629" s="171">
        <v>243</v>
      </c>
      <c r="C629" s="171">
        <v>63</v>
      </c>
      <c r="D629" s="171">
        <v>63</v>
      </c>
      <c r="E629" s="172">
        <f t="shared" si="43"/>
        <v>0.259259259259259</v>
      </c>
    </row>
    <row r="630" s="151" customFormat="1" ht="15.95" customHeight="1" spans="1:5">
      <c r="A630" s="179" t="s">
        <v>540</v>
      </c>
      <c r="B630" s="174">
        <v>772</v>
      </c>
      <c r="C630" s="174">
        <v>1967</v>
      </c>
      <c r="D630" s="174">
        <f>SUM(D631:D637)</f>
        <v>1381</v>
      </c>
      <c r="E630" s="165">
        <f t="shared" si="43"/>
        <v>1.78886010362694</v>
      </c>
    </row>
    <row r="631" s="151" customFormat="1" ht="15.95" customHeight="1" spans="1:5">
      <c r="A631" s="176" t="s">
        <v>541</v>
      </c>
      <c r="B631" s="178">
        <v>387</v>
      </c>
      <c r="C631" s="178">
        <v>486</v>
      </c>
      <c r="D631" s="178">
        <v>486</v>
      </c>
      <c r="E631" s="172">
        <f t="shared" si="43"/>
        <v>1.25581395348837</v>
      </c>
    </row>
    <row r="632" s="151" customFormat="1" ht="15.95" customHeight="1" spans="1:5">
      <c r="A632" s="173" t="s">
        <v>542</v>
      </c>
      <c r="B632" s="171">
        <v>58</v>
      </c>
      <c r="C632" s="171">
        <v>1391</v>
      </c>
      <c r="D632" s="171">
        <f>1391-586</f>
        <v>805</v>
      </c>
      <c r="E632" s="172">
        <f t="shared" si="43"/>
        <v>13.8793103448276</v>
      </c>
    </row>
    <row r="633" s="151" customFormat="1" ht="15.95" hidden="1" customHeight="1" spans="1:5">
      <c r="A633" s="173" t="s">
        <v>543</v>
      </c>
      <c r="B633" s="171">
        <v>0</v>
      </c>
      <c r="C633" s="171"/>
      <c r="D633" s="171"/>
      <c r="E633" s="172"/>
    </row>
    <row r="634" s="151" customFormat="1" ht="15.95" customHeight="1" spans="1:5">
      <c r="A634" s="173" t="s">
        <v>544</v>
      </c>
      <c r="B634" s="171">
        <v>82</v>
      </c>
      <c r="C634" s="171">
        <v>90</v>
      </c>
      <c r="D634" s="171">
        <v>90</v>
      </c>
      <c r="E634" s="172">
        <f t="shared" ref="E634:E639" si="44">D634/B634</f>
        <v>1.09756097560976</v>
      </c>
    </row>
    <row r="635" s="151" customFormat="1" ht="15.95" hidden="1" customHeight="1" spans="1:5">
      <c r="A635" s="173" t="s">
        <v>545</v>
      </c>
      <c r="B635" s="171">
        <v>0</v>
      </c>
      <c r="C635" s="171"/>
      <c r="D635" s="171"/>
      <c r="E635" s="172"/>
    </row>
    <row r="636" s="151" customFormat="1" ht="15.95" customHeight="1" spans="1:5">
      <c r="A636" s="176" t="s">
        <v>546</v>
      </c>
      <c r="B636" s="178">
        <v>45</v>
      </c>
      <c r="C636" s="178"/>
      <c r="D636" s="178"/>
      <c r="E636" s="172">
        <f t="shared" si="44"/>
        <v>0</v>
      </c>
    </row>
    <row r="637" s="151" customFormat="1" ht="15.95" customHeight="1" spans="1:5">
      <c r="A637" s="173" t="s">
        <v>547</v>
      </c>
      <c r="B637" s="171">
        <v>200</v>
      </c>
      <c r="C637" s="171"/>
      <c r="D637" s="171"/>
      <c r="E637" s="172">
        <f t="shared" si="44"/>
        <v>0</v>
      </c>
    </row>
    <row r="638" s="151" customFormat="1" ht="15.95" customHeight="1" spans="1:5">
      <c r="A638" s="179" t="s">
        <v>548</v>
      </c>
      <c r="B638" s="174">
        <v>3035</v>
      </c>
      <c r="C638" s="174">
        <v>3763</v>
      </c>
      <c r="D638" s="174">
        <v>3763</v>
      </c>
      <c r="E638" s="165">
        <f t="shared" si="44"/>
        <v>1.23986820428336</v>
      </c>
    </row>
    <row r="639" s="151" customFormat="1" ht="15.95" customHeight="1" spans="1:5">
      <c r="A639" s="176" t="s">
        <v>107</v>
      </c>
      <c r="B639" s="178">
        <v>94</v>
      </c>
      <c r="C639" s="178">
        <v>95</v>
      </c>
      <c r="D639" s="178">
        <v>95</v>
      </c>
      <c r="E639" s="172">
        <f t="shared" si="44"/>
        <v>1.01063829787234</v>
      </c>
    </row>
    <row r="640" s="151" customFormat="1" ht="15.95" customHeight="1" spans="1:5">
      <c r="A640" s="173" t="s">
        <v>108</v>
      </c>
      <c r="B640" s="171">
        <v>0</v>
      </c>
      <c r="C640" s="171"/>
      <c r="D640" s="171"/>
      <c r="E640" s="172"/>
    </row>
    <row r="641" s="151" customFormat="1" ht="15.95" customHeight="1" spans="1:5">
      <c r="A641" s="173" t="s">
        <v>109</v>
      </c>
      <c r="B641" s="171">
        <v>0</v>
      </c>
      <c r="C641" s="171"/>
      <c r="D641" s="171"/>
      <c r="E641" s="172"/>
    </row>
    <row r="642" s="151" customFormat="1" ht="15.95" customHeight="1" spans="1:5">
      <c r="A642" s="176" t="s">
        <v>549</v>
      </c>
      <c r="B642" s="178">
        <v>519</v>
      </c>
      <c r="C642" s="178">
        <v>1038</v>
      </c>
      <c r="D642" s="178">
        <v>1038</v>
      </c>
      <c r="E642" s="172">
        <f t="shared" ref="E642:E646" si="45">D642/B642</f>
        <v>2</v>
      </c>
    </row>
    <row r="643" s="151" customFormat="1" ht="15.95" customHeight="1" spans="1:5">
      <c r="A643" s="173" t="s">
        <v>550</v>
      </c>
      <c r="B643" s="171">
        <v>64</v>
      </c>
      <c r="C643" s="171">
        <v>75</v>
      </c>
      <c r="D643" s="171">
        <v>75</v>
      </c>
      <c r="E643" s="172">
        <f t="shared" si="45"/>
        <v>1.171875</v>
      </c>
    </row>
    <row r="644" s="151" customFormat="1" ht="15.95" customHeight="1" spans="1:5">
      <c r="A644" s="173" t="s">
        <v>551</v>
      </c>
      <c r="B644" s="171">
        <v>0</v>
      </c>
      <c r="C644" s="171"/>
      <c r="D644" s="171"/>
      <c r="E644" s="172"/>
    </row>
    <row r="645" s="151" customFormat="1" ht="15.95" customHeight="1" spans="1:5">
      <c r="A645" s="176" t="s">
        <v>552</v>
      </c>
      <c r="B645" s="178">
        <v>1863</v>
      </c>
      <c r="C645" s="178">
        <v>2083</v>
      </c>
      <c r="D645" s="178">
        <v>2083</v>
      </c>
      <c r="E645" s="172">
        <f t="shared" si="45"/>
        <v>1.11808910359635</v>
      </c>
    </row>
    <row r="646" s="151" customFormat="1" ht="15.95" customHeight="1" spans="1:5">
      <c r="A646" s="173" t="s">
        <v>553</v>
      </c>
      <c r="B646" s="171">
        <v>495</v>
      </c>
      <c r="C646" s="171">
        <v>472</v>
      </c>
      <c r="D646" s="171">
        <v>472</v>
      </c>
      <c r="E646" s="172">
        <f t="shared" si="45"/>
        <v>0.953535353535354</v>
      </c>
    </row>
    <row r="647" s="151" customFormat="1" ht="15.95" hidden="1" customHeight="1" spans="1:5">
      <c r="A647" s="179" t="s">
        <v>554</v>
      </c>
      <c r="B647" s="174"/>
      <c r="C647" s="174"/>
      <c r="D647" s="174"/>
      <c r="E647" s="165"/>
    </row>
    <row r="648" s="151" customFormat="1" ht="15.95" hidden="1" customHeight="1" spans="1:5">
      <c r="A648" s="176" t="s">
        <v>107</v>
      </c>
      <c r="B648" s="178"/>
      <c r="C648" s="178"/>
      <c r="D648" s="178"/>
      <c r="E648" s="165"/>
    </row>
    <row r="649" s="151" customFormat="1" ht="15.95" hidden="1" customHeight="1" spans="1:5">
      <c r="A649" s="173" t="s">
        <v>108</v>
      </c>
      <c r="B649" s="171"/>
      <c r="C649" s="171"/>
      <c r="D649" s="171"/>
      <c r="E649" s="165"/>
    </row>
    <row r="650" s="151" customFormat="1" ht="15.95" hidden="1" customHeight="1" spans="1:5">
      <c r="A650" s="173" t="s">
        <v>109</v>
      </c>
      <c r="B650" s="171"/>
      <c r="C650" s="171"/>
      <c r="D650" s="171"/>
      <c r="E650" s="165"/>
    </row>
    <row r="651" s="151" customFormat="1" ht="15.95" hidden="1" customHeight="1" spans="1:5">
      <c r="A651" s="176" t="s">
        <v>116</v>
      </c>
      <c r="B651" s="178"/>
      <c r="C651" s="178"/>
      <c r="D651" s="178"/>
      <c r="E651" s="165"/>
    </row>
    <row r="652" s="151" customFormat="1" ht="15.95" hidden="1" customHeight="1" spans="1:5">
      <c r="A652" s="173" t="s">
        <v>555</v>
      </c>
      <c r="B652" s="171"/>
      <c r="C652" s="171"/>
      <c r="D652" s="171"/>
      <c r="E652" s="165"/>
    </row>
    <row r="653" s="151" customFormat="1" ht="15.95" customHeight="1" spans="1:5">
      <c r="A653" s="179" t="s">
        <v>556</v>
      </c>
      <c r="B653" s="174">
        <v>6812</v>
      </c>
      <c r="C653" s="174">
        <v>7378</v>
      </c>
      <c r="D653" s="174">
        <v>7378</v>
      </c>
      <c r="E653" s="165">
        <f t="shared" ref="E653:E659" si="46">D653/B653</f>
        <v>1.08308866705813</v>
      </c>
    </row>
    <row r="654" s="151" customFormat="1" ht="15.95" customHeight="1" spans="1:5">
      <c r="A654" s="173" t="s">
        <v>557</v>
      </c>
      <c r="B654" s="171">
        <v>1031</v>
      </c>
      <c r="C654" s="171">
        <v>1106</v>
      </c>
      <c r="D654" s="171">
        <v>1106</v>
      </c>
      <c r="E654" s="172">
        <f t="shared" si="46"/>
        <v>1.07274490785645</v>
      </c>
    </row>
    <row r="655" s="151" customFormat="1" ht="15.95" customHeight="1" spans="1:5">
      <c r="A655" s="176" t="s">
        <v>558</v>
      </c>
      <c r="B655" s="178">
        <v>5781</v>
      </c>
      <c r="C655" s="178">
        <v>6272</v>
      </c>
      <c r="D655" s="178">
        <v>6272</v>
      </c>
      <c r="E655" s="172">
        <f t="shared" si="46"/>
        <v>1.08493340252551</v>
      </c>
    </row>
    <row r="656" s="151" customFormat="1" ht="15.95" customHeight="1" spans="1:5">
      <c r="A656" s="179" t="s">
        <v>559</v>
      </c>
      <c r="B656" s="174">
        <v>594</v>
      </c>
      <c r="C656" s="174">
        <v>530</v>
      </c>
      <c r="D656" s="174">
        <v>530</v>
      </c>
      <c r="E656" s="165">
        <f t="shared" si="46"/>
        <v>0.892255892255892</v>
      </c>
    </row>
    <row r="657" s="151" customFormat="1" ht="15.95" customHeight="1" spans="1:5">
      <c r="A657" s="173" t="s">
        <v>560</v>
      </c>
      <c r="B657" s="171">
        <v>562</v>
      </c>
      <c r="C657" s="171">
        <v>451</v>
      </c>
      <c r="D657" s="171">
        <v>451</v>
      </c>
      <c r="E657" s="172">
        <f t="shared" si="46"/>
        <v>0.802491103202847</v>
      </c>
    </row>
    <row r="658" s="151" customFormat="1" ht="15.95" customHeight="1" spans="1:5">
      <c r="A658" s="173" t="s">
        <v>561</v>
      </c>
      <c r="B658" s="171">
        <v>32</v>
      </c>
      <c r="C658" s="171">
        <v>79</v>
      </c>
      <c r="D658" s="171">
        <v>79</v>
      </c>
      <c r="E658" s="172">
        <f t="shared" si="46"/>
        <v>2.46875</v>
      </c>
    </row>
    <row r="659" s="151" customFormat="1" ht="15.95" customHeight="1" spans="1:5">
      <c r="A659" s="169" t="s">
        <v>562</v>
      </c>
      <c r="B659" s="167">
        <v>1029</v>
      </c>
      <c r="C659" s="167">
        <v>1012</v>
      </c>
      <c r="D659" s="167">
        <v>1012</v>
      </c>
      <c r="E659" s="165">
        <f t="shared" si="46"/>
        <v>0.983479105928086</v>
      </c>
    </row>
    <row r="660" s="151" customFormat="1" ht="15.95" customHeight="1" spans="1:5">
      <c r="A660" s="173" t="s">
        <v>563</v>
      </c>
      <c r="B660" s="171">
        <v>0</v>
      </c>
      <c r="C660" s="171"/>
      <c r="D660" s="171"/>
      <c r="E660" s="165"/>
    </row>
    <row r="661" s="151" customFormat="1" ht="15.95" customHeight="1" spans="1:5">
      <c r="A661" s="173" t="s">
        <v>564</v>
      </c>
      <c r="B661" s="171">
        <v>1029</v>
      </c>
      <c r="C661" s="171">
        <v>1012</v>
      </c>
      <c r="D661" s="171">
        <v>1012</v>
      </c>
      <c r="E661" s="172">
        <f>D661/B661</f>
        <v>0.983479105928086</v>
      </c>
    </row>
    <row r="662" s="151" customFormat="1" ht="15.95" hidden="1" customHeight="1" spans="1:5">
      <c r="A662" s="179" t="s">
        <v>565</v>
      </c>
      <c r="B662" s="174">
        <v>0</v>
      </c>
      <c r="C662" s="174">
        <v>0</v>
      </c>
      <c r="D662" s="174">
        <v>0</v>
      </c>
      <c r="E662" s="165"/>
    </row>
    <row r="663" s="151" customFormat="1" ht="15.95" hidden="1" customHeight="1" spans="1:5">
      <c r="A663" s="173" t="s">
        <v>566</v>
      </c>
      <c r="B663" s="171"/>
      <c r="C663" s="171"/>
      <c r="D663" s="171"/>
      <c r="E663" s="165"/>
    </row>
    <row r="664" s="151" customFormat="1" ht="15.95" hidden="1" customHeight="1" spans="1:5">
      <c r="A664" s="173" t="s">
        <v>567</v>
      </c>
      <c r="B664" s="171"/>
      <c r="C664" s="171"/>
      <c r="D664" s="171"/>
      <c r="E664" s="165"/>
    </row>
    <row r="665" s="151" customFormat="1" ht="15.95" hidden="1" customHeight="1" spans="1:5">
      <c r="A665" s="179" t="s">
        <v>568</v>
      </c>
      <c r="B665" s="174">
        <v>0</v>
      </c>
      <c r="C665" s="174">
        <v>0</v>
      </c>
      <c r="D665" s="174">
        <v>0</v>
      </c>
      <c r="E665" s="165"/>
    </row>
    <row r="666" s="151" customFormat="1" ht="15.95" hidden="1" customHeight="1" spans="1:5">
      <c r="A666" s="173" t="s">
        <v>569</v>
      </c>
      <c r="B666" s="171"/>
      <c r="C666" s="171"/>
      <c r="D666" s="171"/>
      <c r="E666" s="165"/>
    </row>
    <row r="667" s="151" customFormat="1" ht="15.95" hidden="1" customHeight="1" spans="1:5">
      <c r="A667" s="176" t="s">
        <v>570</v>
      </c>
      <c r="B667" s="178"/>
      <c r="C667" s="178"/>
      <c r="D667" s="178"/>
      <c r="E667" s="165"/>
    </row>
    <row r="668" s="151" customFormat="1" customHeight="1" spans="1:5">
      <c r="A668" s="179" t="s">
        <v>571</v>
      </c>
      <c r="B668" s="174">
        <v>11816</v>
      </c>
      <c r="C668" s="174">
        <v>12684</v>
      </c>
      <c r="D668" s="174">
        <f>SUM(D669:D671)</f>
        <v>11118</v>
      </c>
      <c r="E668" s="165">
        <f t="shared" ref="E668:E670" si="47">D668/B668</f>
        <v>0.940927555856466</v>
      </c>
    </row>
    <row r="669" s="151" customFormat="1" customHeight="1" spans="1:5">
      <c r="A669" s="173" t="s">
        <v>572</v>
      </c>
      <c r="B669" s="171">
        <v>132</v>
      </c>
      <c r="C669" s="171">
        <v>134</v>
      </c>
      <c r="D669" s="171">
        <v>134</v>
      </c>
      <c r="E669" s="172">
        <f t="shared" si="47"/>
        <v>1.01515151515152</v>
      </c>
    </row>
    <row r="670" s="151" customFormat="1" customHeight="1" spans="1:5">
      <c r="A670" s="173" t="s">
        <v>573</v>
      </c>
      <c r="B670" s="171">
        <v>11684</v>
      </c>
      <c r="C670" s="171">
        <v>12550</v>
      </c>
      <c r="D670" s="171">
        <f>12550-1566</f>
        <v>10984</v>
      </c>
      <c r="E670" s="172">
        <f t="shared" si="47"/>
        <v>0.940089010612804</v>
      </c>
    </row>
    <row r="671" s="151" customFormat="1" hidden="1" customHeight="1" spans="1:5">
      <c r="A671" s="176" t="s">
        <v>574</v>
      </c>
      <c r="B671" s="178">
        <v>0</v>
      </c>
      <c r="C671" s="178"/>
      <c r="D671" s="178"/>
      <c r="E671" s="165"/>
    </row>
    <row r="672" s="151" customFormat="1" ht="20.1" hidden="1" customHeight="1" spans="1:5">
      <c r="A672" s="166" t="s">
        <v>575</v>
      </c>
      <c r="B672" s="167">
        <v>0</v>
      </c>
      <c r="C672" s="167">
        <v>0</v>
      </c>
      <c r="D672" s="167">
        <v>0</v>
      </c>
      <c r="E672" s="165"/>
    </row>
    <row r="673" s="151" customFormat="1" ht="15.95" hidden="1" customHeight="1" spans="1:5">
      <c r="A673" s="173" t="s">
        <v>576</v>
      </c>
      <c r="B673" s="171"/>
      <c r="C673" s="171"/>
      <c r="D673" s="171"/>
      <c r="E673" s="165"/>
    </row>
    <row r="674" s="151" customFormat="1" ht="15.95" hidden="1" customHeight="1" spans="1:5">
      <c r="A674" s="173" t="s">
        <v>577</v>
      </c>
      <c r="B674" s="171"/>
      <c r="C674" s="171"/>
      <c r="D674" s="171"/>
      <c r="E674" s="165"/>
    </row>
    <row r="675" s="151" customFormat="1" ht="21.95" hidden="1" customHeight="1" spans="1:5">
      <c r="A675" s="173" t="s">
        <v>578</v>
      </c>
      <c r="B675" s="171"/>
      <c r="C675" s="171"/>
      <c r="D675" s="171"/>
      <c r="E675" s="165"/>
    </row>
    <row r="676" s="151" customFormat="1" ht="15.95" customHeight="1" spans="1:5">
      <c r="A676" s="179" t="s">
        <v>579</v>
      </c>
      <c r="B676" s="174">
        <v>342</v>
      </c>
      <c r="C676" s="174">
        <v>1171</v>
      </c>
      <c r="D676" s="174">
        <f>SUM(D677:D684)</f>
        <v>1160</v>
      </c>
      <c r="E676" s="165">
        <f t="shared" ref="E676:E680" si="48">D676/B676</f>
        <v>3.39181286549708</v>
      </c>
    </row>
    <row r="677" s="151" customFormat="1" ht="15.95" customHeight="1" spans="1:5">
      <c r="A677" s="176" t="s">
        <v>107</v>
      </c>
      <c r="B677" s="178">
        <v>212</v>
      </c>
      <c r="C677" s="178">
        <v>225</v>
      </c>
      <c r="D677" s="178">
        <f>225-11</f>
        <v>214</v>
      </c>
      <c r="E677" s="172">
        <f t="shared" si="48"/>
        <v>1.00943396226415</v>
      </c>
    </row>
    <row r="678" s="151" customFormat="1" ht="15.95" hidden="1" customHeight="1" spans="1:5">
      <c r="A678" s="173" t="s">
        <v>108</v>
      </c>
      <c r="B678" s="171">
        <v>0</v>
      </c>
      <c r="C678" s="171"/>
      <c r="D678" s="171"/>
      <c r="E678" s="172"/>
    </row>
    <row r="679" s="151" customFormat="1" ht="15.95" hidden="1" customHeight="1" spans="1:5">
      <c r="A679" s="173" t="s">
        <v>109</v>
      </c>
      <c r="B679" s="171">
        <v>0</v>
      </c>
      <c r="C679" s="171"/>
      <c r="D679" s="171"/>
      <c r="E679" s="172"/>
    </row>
    <row r="680" s="151" customFormat="1" ht="15.95" customHeight="1" spans="1:5">
      <c r="A680" s="173" t="s">
        <v>580</v>
      </c>
      <c r="B680" s="171">
        <v>130</v>
      </c>
      <c r="C680" s="171">
        <v>887</v>
      </c>
      <c r="D680" s="171">
        <v>887</v>
      </c>
      <c r="E680" s="172">
        <f t="shared" si="48"/>
        <v>6.82307692307692</v>
      </c>
    </row>
    <row r="681" s="151" customFormat="1" ht="15.95" hidden="1" customHeight="1" spans="1:5">
      <c r="A681" s="173" t="s">
        <v>581</v>
      </c>
      <c r="B681" s="171">
        <v>0</v>
      </c>
      <c r="C681" s="171"/>
      <c r="D681" s="171"/>
      <c r="E681" s="165"/>
    </row>
    <row r="682" s="151" customFormat="1" ht="15.95" hidden="1" customHeight="1" spans="1:5">
      <c r="A682" s="173" t="s">
        <v>147</v>
      </c>
      <c r="B682" s="171">
        <v>0</v>
      </c>
      <c r="C682" s="171"/>
      <c r="D682" s="171"/>
      <c r="E682" s="165"/>
    </row>
    <row r="683" s="151" customFormat="1" ht="15.95" hidden="1" customHeight="1" spans="1:5">
      <c r="A683" s="173" t="s">
        <v>116</v>
      </c>
      <c r="B683" s="171">
        <v>0</v>
      </c>
      <c r="C683" s="171"/>
      <c r="D683" s="171"/>
      <c r="E683" s="165"/>
    </row>
    <row r="684" s="151" customFormat="1" ht="15.95" customHeight="1" spans="1:5">
      <c r="A684" s="173" t="s">
        <v>582</v>
      </c>
      <c r="B684" s="171"/>
      <c r="C684" s="171">
        <v>59</v>
      </c>
      <c r="D684" s="171">
        <v>59</v>
      </c>
      <c r="E684" s="165"/>
    </row>
    <row r="685" s="151" customFormat="1" ht="15.95" customHeight="1" spans="1:5">
      <c r="A685" s="179" t="s">
        <v>583</v>
      </c>
      <c r="B685" s="174">
        <v>6</v>
      </c>
      <c r="C685" s="174">
        <v>34</v>
      </c>
      <c r="D685" s="174">
        <v>34</v>
      </c>
      <c r="E685" s="165">
        <f t="shared" ref="E685:E692" si="49">D685/B685</f>
        <v>5.66666666666667</v>
      </c>
    </row>
    <row r="686" s="151" customFormat="1" customHeight="1" spans="1:5">
      <c r="A686" s="173" t="s">
        <v>584</v>
      </c>
      <c r="B686" s="171">
        <v>6</v>
      </c>
      <c r="C686" s="171">
        <v>34</v>
      </c>
      <c r="D686" s="171">
        <v>34</v>
      </c>
      <c r="E686" s="172">
        <f t="shared" si="49"/>
        <v>5.66666666666667</v>
      </c>
    </row>
    <row r="687" s="151" customFormat="1" hidden="1" customHeight="1" spans="1:5">
      <c r="A687" s="173" t="s">
        <v>585</v>
      </c>
      <c r="B687" s="171">
        <v>0</v>
      </c>
      <c r="C687" s="171"/>
      <c r="D687" s="171"/>
      <c r="E687" s="165"/>
    </row>
    <row r="688" s="151" customFormat="1" ht="15.95" customHeight="1" spans="1:5">
      <c r="A688" s="179" t="s">
        <v>586</v>
      </c>
      <c r="B688" s="174">
        <v>471</v>
      </c>
      <c r="C688" s="174">
        <v>1641</v>
      </c>
      <c r="D688" s="174">
        <v>1641</v>
      </c>
      <c r="E688" s="165">
        <f t="shared" si="49"/>
        <v>3.48407643312102</v>
      </c>
    </row>
    <row r="689" s="151" customFormat="1" ht="15.95" customHeight="1" spans="1:5">
      <c r="A689" s="173" t="s">
        <v>587</v>
      </c>
      <c r="B689" s="171">
        <v>471</v>
      </c>
      <c r="C689" s="171">
        <v>1641</v>
      </c>
      <c r="D689" s="171">
        <v>1641</v>
      </c>
      <c r="E689" s="172">
        <f t="shared" si="49"/>
        <v>3.48407643312102</v>
      </c>
    </row>
    <row r="690" s="151" customFormat="1" ht="15.95" customHeight="1" spans="1:5">
      <c r="A690" s="179" t="s">
        <v>588</v>
      </c>
      <c r="B690" s="174">
        <v>68678</v>
      </c>
      <c r="C690" s="174">
        <f>C691+C696+C711+C715+C727+C731+C736+C740+C744+C747+C756+C758+C769</f>
        <v>58104</v>
      </c>
      <c r="D690" s="174">
        <f>D691+D696+D711+D715+D727+D731+D736+D740+D744+D747+D756+D758+D769</f>
        <v>56771</v>
      </c>
      <c r="E690" s="165">
        <f t="shared" si="49"/>
        <v>0.826625702553947</v>
      </c>
    </row>
    <row r="691" s="151" customFormat="1" ht="15.95" customHeight="1" spans="1:5">
      <c r="A691" s="179" t="s">
        <v>589</v>
      </c>
      <c r="B691" s="174">
        <v>1775</v>
      </c>
      <c r="C691" s="174">
        <v>858</v>
      </c>
      <c r="D691" s="174">
        <v>858</v>
      </c>
      <c r="E691" s="165">
        <f t="shared" si="49"/>
        <v>0.483380281690141</v>
      </c>
    </row>
    <row r="692" s="151" customFormat="1" ht="15.95" customHeight="1" spans="1:5">
      <c r="A692" s="173" t="s">
        <v>107</v>
      </c>
      <c r="B692" s="171">
        <v>561</v>
      </c>
      <c r="C692" s="171">
        <v>620</v>
      </c>
      <c r="D692" s="171">
        <v>620</v>
      </c>
      <c r="E692" s="172">
        <f t="shared" si="49"/>
        <v>1.10516934046346</v>
      </c>
    </row>
    <row r="693" s="151" customFormat="1" ht="15.95" hidden="1" customHeight="1" spans="1:5">
      <c r="A693" s="176" t="s">
        <v>590</v>
      </c>
      <c r="B693" s="167">
        <v>0</v>
      </c>
      <c r="C693" s="167"/>
      <c r="D693" s="167"/>
      <c r="E693" s="172"/>
    </row>
    <row r="694" s="151" customFormat="1" ht="15.95" hidden="1" customHeight="1" spans="1:5">
      <c r="A694" s="173" t="s">
        <v>109</v>
      </c>
      <c r="B694" s="171">
        <v>0</v>
      </c>
      <c r="C694" s="171"/>
      <c r="D694" s="171"/>
      <c r="E694" s="172"/>
    </row>
    <row r="695" s="151" customFormat="1" ht="15.95" customHeight="1" spans="1:5">
      <c r="A695" s="173" t="s">
        <v>591</v>
      </c>
      <c r="B695" s="171">
        <v>1214</v>
      </c>
      <c r="C695" s="171">
        <v>238</v>
      </c>
      <c r="D695" s="171">
        <v>238</v>
      </c>
      <c r="E695" s="172">
        <f t="shared" ref="E695:E698" si="50">D695/B695</f>
        <v>0.196046128500824</v>
      </c>
    </row>
    <row r="696" s="151" customFormat="1" ht="15.95" customHeight="1" spans="1:5">
      <c r="A696" s="179" t="s">
        <v>592</v>
      </c>
      <c r="B696" s="174">
        <v>4472</v>
      </c>
      <c r="C696" s="174">
        <v>7128</v>
      </c>
      <c r="D696" s="174">
        <f>SUM(D697:D710)</f>
        <v>6438</v>
      </c>
      <c r="E696" s="165">
        <f t="shared" si="50"/>
        <v>1.43962432915921</v>
      </c>
    </row>
    <row r="697" s="151" customFormat="1" ht="15.95" customHeight="1" spans="1:5">
      <c r="A697" s="176" t="s">
        <v>593</v>
      </c>
      <c r="B697" s="178">
        <v>2985</v>
      </c>
      <c r="C697" s="178">
        <v>5609</v>
      </c>
      <c r="D697" s="178">
        <f>5609-690</f>
        <v>4919</v>
      </c>
      <c r="E697" s="172">
        <f t="shared" si="50"/>
        <v>1.64790619765494</v>
      </c>
    </row>
    <row r="698" s="151" customFormat="1" ht="15.95" customHeight="1" spans="1:5">
      <c r="A698" s="173" t="s">
        <v>594</v>
      </c>
      <c r="B698" s="171">
        <v>1463</v>
      </c>
      <c r="C698" s="171">
        <v>1519</v>
      </c>
      <c r="D698" s="171">
        <v>1519</v>
      </c>
      <c r="E698" s="172">
        <f t="shared" si="50"/>
        <v>1.03827751196172</v>
      </c>
    </row>
    <row r="699" s="151" customFormat="1" ht="15.95" hidden="1" customHeight="1" spans="1:5">
      <c r="A699" s="173" t="s">
        <v>595</v>
      </c>
      <c r="B699" s="171">
        <v>0</v>
      </c>
      <c r="C699" s="171"/>
      <c r="D699" s="171"/>
      <c r="E699" s="172"/>
    </row>
    <row r="700" s="151" customFormat="1" ht="15.95" hidden="1" customHeight="1" spans="1:5">
      <c r="A700" s="173" t="s">
        <v>596</v>
      </c>
      <c r="B700" s="171">
        <v>0</v>
      </c>
      <c r="C700" s="171"/>
      <c r="D700" s="171"/>
      <c r="E700" s="172"/>
    </row>
    <row r="701" s="151" customFormat="1" ht="15.95" customHeight="1" spans="1:5">
      <c r="A701" s="173" t="s">
        <v>597</v>
      </c>
      <c r="B701" s="171">
        <v>24</v>
      </c>
      <c r="C701" s="171"/>
      <c r="D701" s="171"/>
      <c r="E701" s="172">
        <f>D701/B701</f>
        <v>0</v>
      </c>
    </row>
    <row r="702" s="151" customFormat="1" ht="15.95" hidden="1" customHeight="1" spans="1:5">
      <c r="A702" s="173" t="s">
        <v>598</v>
      </c>
      <c r="B702" s="171">
        <v>0</v>
      </c>
      <c r="C702" s="171"/>
      <c r="D702" s="171"/>
      <c r="E702" s="165"/>
    </row>
    <row r="703" s="151" customFormat="1" ht="15.95" hidden="1" customHeight="1" spans="1:5">
      <c r="A703" s="173" t="s">
        <v>599</v>
      </c>
      <c r="B703" s="171">
        <v>0</v>
      </c>
      <c r="C703" s="171"/>
      <c r="D703" s="171"/>
      <c r="E703" s="165"/>
    </row>
    <row r="704" s="151" customFormat="1" ht="15.95" hidden="1" customHeight="1" spans="1:5">
      <c r="A704" s="173" t="s">
        <v>600</v>
      </c>
      <c r="B704" s="171">
        <v>0</v>
      </c>
      <c r="C704" s="171"/>
      <c r="D704" s="171"/>
      <c r="E704" s="165"/>
    </row>
    <row r="705" s="151" customFormat="1" ht="15.95" hidden="1" customHeight="1" spans="1:5">
      <c r="A705" s="173" t="s">
        <v>601</v>
      </c>
      <c r="B705" s="171">
        <v>0</v>
      </c>
      <c r="C705" s="171"/>
      <c r="D705" s="171"/>
      <c r="E705" s="165"/>
    </row>
    <row r="706" s="151" customFormat="1" ht="15.95" hidden="1" customHeight="1" spans="1:5">
      <c r="A706" s="173" t="s">
        <v>602</v>
      </c>
      <c r="B706" s="171">
        <v>0</v>
      </c>
      <c r="C706" s="171"/>
      <c r="D706" s="171"/>
      <c r="E706" s="165"/>
    </row>
    <row r="707" s="151" customFormat="1" ht="15.95" hidden="1" customHeight="1" spans="1:5">
      <c r="A707" s="173" t="s">
        <v>603</v>
      </c>
      <c r="B707" s="171">
        <v>0</v>
      </c>
      <c r="C707" s="171"/>
      <c r="D707" s="171"/>
      <c r="E707" s="165"/>
    </row>
    <row r="708" s="151" customFormat="1" ht="15.95" hidden="1" customHeight="1" spans="1:5">
      <c r="A708" s="173" t="s">
        <v>604</v>
      </c>
      <c r="B708" s="171">
        <v>0</v>
      </c>
      <c r="C708" s="171"/>
      <c r="D708" s="171"/>
      <c r="E708" s="165"/>
    </row>
    <row r="709" s="151" customFormat="1" ht="15.95" hidden="1" customHeight="1" spans="1:5">
      <c r="A709" s="176" t="s">
        <v>605</v>
      </c>
      <c r="B709" s="178">
        <v>0</v>
      </c>
      <c r="C709" s="178"/>
      <c r="D709" s="178"/>
      <c r="E709" s="165"/>
    </row>
    <row r="710" s="151" customFormat="1" ht="15.95" hidden="1" customHeight="1" spans="1:5">
      <c r="A710" s="173" t="s">
        <v>606</v>
      </c>
      <c r="B710" s="171">
        <v>0</v>
      </c>
      <c r="C710" s="171"/>
      <c r="D710" s="171"/>
      <c r="E710" s="165"/>
    </row>
    <row r="711" s="151" customFormat="1" ht="15.95" customHeight="1" spans="1:5">
      <c r="A711" s="179" t="s">
        <v>607</v>
      </c>
      <c r="B711" s="174">
        <v>8566</v>
      </c>
      <c r="C711" s="174">
        <v>8980</v>
      </c>
      <c r="D711" s="174">
        <f>SUM(D712:D714)</f>
        <v>8837</v>
      </c>
      <c r="E711" s="165">
        <f t="shared" ref="E711:E716" si="51">D711/B711</f>
        <v>1.03163670324539</v>
      </c>
    </row>
    <row r="712" s="151" customFormat="1" ht="15.95" customHeight="1" spans="1:5">
      <c r="A712" s="176" t="s">
        <v>608</v>
      </c>
      <c r="B712" s="178">
        <v>2108</v>
      </c>
      <c r="C712" s="178">
        <v>2030</v>
      </c>
      <c r="D712" s="178">
        <f>2030-5</f>
        <v>2025</v>
      </c>
      <c r="E712" s="172">
        <f t="shared" si="51"/>
        <v>0.960626185958254</v>
      </c>
    </row>
    <row r="713" s="151" customFormat="1" ht="15.95" customHeight="1" spans="1:5">
      <c r="A713" s="173" t="s">
        <v>609</v>
      </c>
      <c r="B713" s="171">
        <v>6114</v>
      </c>
      <c r="C713" s="171">
        <v>4811</v>
      </c>
      <c r="D713" s="171">
        <f>4811-138</f>
        <v>4673</v>
      </c>
      <c r="E713" s="172">
        <f t="shared" si="51"/>
        <v>0.764311416421328</v>
      </c>
    </row>
    <row r="714" s="151" customFormat="1" ht="15.95" customHeight="1" spans="1:5">
      <c r="A714" s="173" t="s">
        <v>610</v>
      </c>
      <c r="B714" s="171">
        <v>344</v>
      </c>
      <c r="C714" s="171">
        <v>2139</v>
      </c>
      <c r="D714" s="171">
        <v>2139</v>
      </c>
      <c r="E714" s="172">
        <f t="shared" si="51"/>
        <v>6.21802325581395</v>
      </c>
    </row>
    <row r="715" s="151" customFormat="1" ht="15.95" customHeight="1" spans="1:5">
      <c r="A715" s="179" t="s">
        <v>611</v>
      </c>
      <c r="B715" s="174">
        <v>27996</v>
      </c>
      <c r="C715" s="174">
        <v>13982</v>
      </c>
      <c r="D715" s="174">
        <v>13982</v>
      </c>
      <c r="E715" s="165">
        <f t="shared" si="51"/>
        <v>0.499428489784255</v>
      </c>
    </row>
    <row r="716" s="151" customFormat="1" ht="15.95" customHeight="1" spans="1:5">
      <c r="A716" s="176" t="s">
        <v>612</v>
      </c>
      <c r="B716" s="178">
        <v>860</v>
      </c>
      <c r="C716" s="178">
        <v>1009</v>
      </c>
      <c r="D716" s="178">
        <v>1009</v>
      </c>
      <c r="E716" s="172">
        <f t="shared" si="51"/>
        <v>1.17325581395349</v>
      </c>
    </row>
    <row r="717" s="151" customFormat="1" ht="15.95" hidden="1" customHeight="1" spans="1:5">
      <c r="A717" s="173" t="s">
        <v>613</v>
      </c>
      <c r="B717" s="171">
        <v>0</v>
      </c>
      <c r="C717" s="171"/>
      <c r="D717" s="171"/>
      <c r="E717" s="172"/>
    </row>
    <row r="718" s="151" customFormat="1" ht="15.95" customHeight="1" spans="1:5">
      <c r="A718" s="173" t="s">
        <v>614</v>
      </c>
      <c r="B718" s="171">
        <v>1005</v>
      </c>
      <c r="C718" s="171">
        <v>898</v>
      </c>
      <c r="D718" s="171">
        <v>898</v>
      </c>
      <c r="E718" s="172">
        <f>D718/B718</f>
        <v>0.893532338308458</v>
      </c>
    </row>
    <row r="719" s="151" customFormat="1" ht="15.95" hidden="1" customHeight="1" spans="1:5">
      <c r="A719" s="173" t="s">
        <v>615</v>
      </c>
      <c r="B719" s="171">
        <v>0</v>
      </c>
      <c r="C719" s="171"/>
      <c r="D719" s="171"/>
      <c r="E719" s="172"/>
    </row>
    <row r="720" s="151" customFormat="1" ht="15.95" hidden="1" customHeight="1" spans="1:5">
      <c r="A720" s="173" t="s">
        <v>616</v>
      </c>
      <c r="B720" s="171">
        <v>0</v>
      </c>
      <c r="C720" s="171"/>
      <c r="D720" s="171"/>
      <c r="E720" s="172"/>
    </row>
    <row r="721" s="151" customFormat="1" ht="15.95" hidden="1" customHeight="1" spans="1:5">
      <c r="A721" s="176" t="s">
        <v>617</v>
      </c>
      <c r="B721" s="178">
        <v>0</v>
      </c>
      <c r="C721" s="178"/>
      <c r="D721" s="178"/>
      <c r="E721" s="172"/>
    </row>
    <row r="722" s="151" customFormat="1" ht="15.95" hidden="1" customHeight="1" spans="1:5">
      <c r="A722" s="173" t="s">
        <v>618</v>
      </c>
      <c r="B722" s="171">
        <v>0</v>
      </c>
      <c r="C722" s="171"/>
      <c r="D722" s="171"/>
      <c r="E722" s="172"/>
    </row>
    <row r="723" s="151" customFormat="1" ht="15.95" customHeight="1" spans="1:5">
      <c r="A723" s="173" t="s">
        <v>619</v>
      </c>
      <c r="B723" s="171">
        <v>3906</v>
      </c>
      <c r="C723" s="171">
        <v>4636</v>
      </c>
      <c r="D723" s="171">
        <v>4636</v>
      </c>
      <c r="E723" s="172">
        <f t="shared" ref="E723:E728" si="52">D723/B723</f>
        <v>1.18689196108551</v>
      </c>
    </row>
    <row r="724" s="151" customFormat="1" ht="15.95" customHeight="1" spans="1:5">
      <c r="A724" s="173" t="s">
        <v>620</v>
      </c>
      <c r="B724" s="171">
        <v>1164</v>
      </c>
      <c r="C724" s="171">
        <v>2805</v>
      </c>
      <c r="D724" s="171">
        <v>2805</v>
      </c>
      <c r="E724" s="172">
        <f t="shared" si="52"/>
        <v>2.40979381443299</v>
      </c>
    </row>
    <row r="725" s="151" customFormat="1" ht="15.95" customHeight="1" spans="1:5">
      <c r="A725" s="176" t="s">
        <v>621</v>
      </c>
      <c r="B725" s="178">
        <v>20556</v>
      </c>
      <c r="C725" s="178">
        <v>3508</v>
      </c>
      <c r="D725" s="178">
        <v>3508</v>
      </c>
      <c r="E725" s="172">
        <f t="shared" si="52"/>
        <v>0.170655769604982</v>
      </c>
    </row>
    <row r="726" s="151" customFormat="1" ht="15.95" customHeight="1" spans="1:5">
      <c r="A726" s="173" t="s">
        <v>622</v>
      </c>
      <c r="B726" s="171">
        <v>505</v>
      </c>
      <c r="C726" s="171">
        <v>1126</v>
      </c>
      <c r="D726" s="171">
        <v>1126</v>
      </c>
      <c r="E726" s="172">
        <f t="shared" si="52"/>
        <v>2.22970297029703</v>
      </c>
    </row>
    <row r="727" s="151" customFormat="1" ht="15.95" customHeight="1" spans="1:5">
      <c r="A727" s="179" t="s">
        <v>623</v>
      </c>
      <c r="B727" s="174">
        <v>47</v>
      </c>
      <c r="C727" s="174">
        <v>60</v>
      </c>
      <c r="D727" s="174">
        <v>60</v>
      </c>
      <c r="E727" s="165">
        <f t="shared" si="52"/>
        <v>1.27659574468085</v>
      </c>
    </row>
    <row r="728" s="151" customFormat="1" ht="15.95" customHeight="1" spans="1:5">
      <c r="A728" s="173" t="s">
        <v>624</v>
      </c>
      <c r="B728" s="171">
        <v>3</v>
      </c>
      <c r="C728" s="171">
        <v>1</v>
      </c>
      <c r="D728" s="171">
        <v>1</v>
      </c>
      <c r="E728" s="172">
        <f t="shared" si="52"/>
        <v>0.333333333333333</v>
      </c>
    </row>
    <row r="729" s="151" customFormat="1" ht="15.95" hidden="1" customHeight="1" spans="1:5">
      <c r="A729" s="176" t="s">
        <v>625</v>
      </c>
      <c r="B729" s="178">
        <v>0</v>
      </c>
      <c r="C729" s="178"/>
      <c r="D729" s="178"/>
      <c r="E729" s="172"/>
    </row>
    <row r="730" s="151" customFormat="1" ht="15.95" customHeight="1" spans="1:5">
      <c r="A730" s="173" t="s">
        <v>626</v>
      </c>
      <c r="B730" s="171">
        <v>44</v>
      </c>
      <c r="C730" s="171">
        <v>59</v>
      </c>
      <c r="D730" s="171">
        <v>59</v>
      </c>
      <c r="E730" s="172">
        <f t="shared" ref="E730:E734" si="53">D730/B730</f>
        <v>1.34090909090909</v>
      </c>
    </row>
    <row r="731" s="151" customFormat="1" ht="15.95" customHeight="1" spans="1:5">
      <c r="A731" s="179" t="s">
        <v>627</v>
      </c>
      <c r="B731" s="174">
        <v>20531</v>
      </c>
      <c r="C731" s="174">
        <v>21063</v>
      </c>
      <c r="D731" s="174">
        <f>SUM(D732:D734)</f>
        <v>20563</v>
      </c>
      <c r="E731" s="165">
        <f t="shared" si="53"/>
        <v>1.0015586186742</v>
      </c>
    </row>
    <row r="732" s="151" customFormat="1" ht="15.95" customHeight="1" spans="1:5">
      <c r="A732" s="176" t="s">
        <v>628</v>
      </c>
      <c r="B732" s="178">
        <v>2094</v>
      </c>
      <c r="C732" s="178">
        <v>2145</v>
      </c>
      <c r="D732" s="178">
        <f>2145-89</f>
        <v>2056</v>
      </c>
      <c r="E732" s="172">
        <f t="shared" si="53"/>
        <v>0.981852913085005</v>
      </c>
    </row>
    <row r="733" s="151" customFormat="1" ht="15.95" customHeight="1" spans="1:5">
      <c r="A733" s="173" t="s">
        <v>629</v>
      </c>
      <c r="B733" s="171">
        <v>5006</v>
      </c>
      <c r="C733" s="171">
        <v>5104</v>
      </c>
      <c r="D733" s="171">
        <f>5104-381</f>
        <v>4723</v>
      </c>
      <c r="E733" s="172">
        <f t="shared" si="53"/>
        <v>0.943467838593688</v>
      </c>
    </row>
    <row r="734" s="151" customFormat="1" ht="15.95" customHeight="1" spans="1:5">
      <c r="A734" s="173" t="s">
        <v>630</v>
      </c>
      <c r="B734" s="171">
        <v>13431</v>
      </c>
      <c r="C734" s="171">
        <v>13814</v>
      </c>
      <c r="D734" s="171">
        <f>13814-30</f>
        <v>13784</v>
      </c>
      <c r="E734" s="172">
        <f t="shared" si="53"/>
        <v>1.02628248082794</v>
      </c>
    </row>
    <row r="735" s="151" customFormat="1" ht="15.95" hidden="1" customHeight="1" spans="1:5">
      <c r="A735" s="173" t="s">
        <v>631</v>
      </c>
      <c r="B735" s="171">
        <v>0</v>
      </c>
      <c r="C735" s="171"/>
      <c r="D735" s="171"/>
      <c r="E735" s="165"/>
    </row>
    <row r="736" s="151" customFormat="1" ht="17.1" customHeight="1" spans="1:5">
      <c r="A736" s="179" t="s">
        <v>632</v>
      </c>
      <c r="B736" s="174">
        <v>2788</v>
      </c>
      <c r="C736" s="174">
        <v>2916</v>
      </c>
      <c r="D736" s="174">
        <v>2916</v>
      </c>
      <c r="E736" s="165">
        <f t="shared" ref="E736:E738" si="54">D736/B736</f>
        <v>1.04591104734577</v>
      </c>
    </row>
    <row r="737" s="151" customFormat="1" ht="17.1" customHeight="1" spans="1:5">
      <c r="A737" s="173" t="s">
        <v>633</v>
      </c>
      <c r="B737" s="171">
        <v>11</v>
      </c>
      <c r="C737" s="171">
        <v>22</v>
      </c>
      <c r="D737" s="171">
        <v>22</v>
      </c>
      <c r="E737" s="172">
        <f t="shared" si="54"/>
        <v>2</v>
      </c>
    </row>
    <row r="738" s="151" customFormat="1" ht="17.1" customHeight="1" spans="1:5">
      <c r="A738" s="173" t="s">
        <v>634</v>
      </c>
      <c r="B738" s="171">
        <v>2777</v>
      </c>
      <c r="C738" s="171">
        <v>2894</v>
      </c>
      <c r="D738" s="171">
        <v>2894</v>
      </c>
      <c r="E738" s="172">
        <f t="shared" si="54"/>
        <v>1.04213179690313</v>
      </c>
    </row>
    <row r="739" s="151" customFormat="1" ht="17.1" hidden="1" customHeight="1" spans="1:5">
      <c r="A739" s="173" t="s">
        <v>635</v>
      </c>
      <c r="B739" s="174">
        <v>0</v>
      </c>
      <c r="C739" s="174"/>
      <c r="D739" s="174"/>
      <c r="E739" s="165"/>
    </row>
    <row r="740" s="151" customFormat="1" ht="15.95" customHeight="1" spans="1:5">
      <c r="A740" s="179" t="s">
        <v>636</v>
      </c>
      <c r="B740" s="174">
        <v>1920</v>
      </c>
      <c r="C740" s="174">
        <v>1043</v>
      </c>
      <c r="D740" s="174">
        <v>1043</v>
      </c>
      <c r="E740" s="165">
        <f t="shared" ref="E740:E745" si="55">D740/B740</f>
        <v>0.543229166666667</v>
      </c>
    </row>
    <row r="741" s="151" customFormat="1" ht="15.95" customHeight="1" spans="1:5">
      <c r="A741" s="173" t="s">
        <v>637</v>
      </c>
      <c r="B741" s="171">
        <v>1920</v>
      </c>
      <c r="C741" s="171">
        <v>1043</v>
      </c>
      <c r="D741" s="171">
        <v>1043</v>
      </c>
      <c r="E741" s="172">
        <f t="shared" si="55"/>
        <v>0.543229166666667</v>
      </c>
    </row>
    <row r="742" s="151" customFormat="1" ht="15.95" hidden="1" customHeight="1" spans="1:5">
      <c r="A742" s="173" t="s">
        <v>638</v>
      </c>
      <c r="B742" s="171">
        <v>0</v>
      </c>
      <c r="C742" s="171"/>
      <c r="D742" s="171"/>
      <c r="E742" s="165"/>
    </row>
    <row r="743" s="151" customFormat="1" ht="15.95" hidden="1" customHeight="1" spans="1:5">
      <c r="A743" s="176" t="s">
        <v>639</v>
      </c>
      <c r="B743" s="167">
        <v>0</v>
      </c>
      <c r="C743" s="178"/>
      <c r="D743" s="178"/>
      <c r="E743" s="165"/>
    </row>
    <row r="744" s="151" customFormat="1" ht="15.95" customHeight="1" spans="1:5">
      <c r="A744" s="166" t="s">
        <v>640</v>
      </c>
      <c r="B744" s="167">
        <v>37</v>
      </c>
      <c r="C744" s="167">
        <v>41</v>
      </c>
      <c r="D744" s="167">
        <v>41</v>
      </c>
      <c r="E744" s="165">
        <f t="shared" si="55"/>
        <v>1.10810810810811</v>
      </c>
    </row>
    <row r="745" s="151" customFormat="1" ht="15.95" customHeight="1" spans="1:5">
      <c r="A745" s="173" t="s">
        <v>641</v>
      </c>
      <c r="B745" s="171">
        <v>37</v>
      </c>
      <c r="C745" s="171">
        <v>41</v>
      </c>
      <c r="D745" s="171">
        <v>41</v>
      </c>
      <c r="E745" s="172">
        <f t="shared" si="55"/>
        <v>1.10810810810811</v>
      </c>
    </row>
    <row r="746" s="151" customFormat="1" ht="15.95" hidden="1" customHeight="1" spans="1:5">
      <c r="A746" s="173" t="s">
        <v>642</v>
      </c>
      <c r="B746" s="171">
        <v>0</v>
      </c>
      <c r="C746" s="171"/>
      <c r="D746" s="171"/>
      <c r="E746" s="165"/>
    </row>
    <row r="747" s="151" customFormat="1" ht="15.95" customHeight="1" spans="1:5">
      <c r="A747" s="179" t="s">
        <v>643</v>
      </c>
      <c r="B747" s="174">
        <v>282</v>
      </c>
      <c r="C747" s="174">
        <v>705</v>
      </c>
      <c r="D747" s="174">
        <v>705</v>
      </c>
      <c r="E747" s="165">
        <f>D747/B747</f>
        <v>2.5</v>
      </c>
    </row>
    <row r="748" s="151" customFormat="1" ht="15.95" customHeight="1" spans="1:5">
      <c r="A748" s="173" t="s">
        <v>107</v>
      </c>
      <c r="B748" s="171">
        <v>124</v>
      </c>
      <c r="C748" s="171">
        <v>131</v>
      </c>
      <c r="D748" s="171">
        <v>131</v>
      </c>
      <c r="E748" s="172">
        <f>D748/B748</f>
        <v>1.05645161290323</v>
      </c>
    </row>
    <row r="749" s="151" customFormat="1" ht="15.95" hidden="1" customHeight="1" spans="1:5">
      <c r="A749" s="173" t="s">
        <v>108</v>
      </c>
      <c r="B749" s="171">
        <v>0</v>
      </c>
      <c r="C749" s="171"/>
      <c r="D749" s="171"/>
      <c r="E749" s="172"/>
    </row>
    <row r="750" s="151" customFormat="1" ht="15.95" hidden="1" customHeight="1" spans="1:5">
      <c r="A750" s="173" t="s">
        <v>109</v>
      </c>
      <c r="B750" s="174">
        <v>0</v>
      </c>
      <c r="C750" s="171"/>
      <c r="D750" s="171"/>
      <c r="E750" s="172"/>
    </row>
    <row r="751" s="151" customFormat="1" ht="15.95" hidden="1" customHeight="1" spans="1:5">
      <c r="A751" s="173" t="s">
        <v>147</v>
      </c>
      <c r="B751" s="171">
        <v>0</v>
      </c>
      <c r="C751" s="171"/>
      <c r="D751" s="171"/>
      <c r="E751" s="172"/>
    </row>
    <row r="752" s="151" customFormat="1" ht="15.95" hidden="1" customHeight="1" spans="1:5">
      <c r="A752" s="173" t="s">
        <v>644</v>
      </c>
      <c r="B752" s="171">
        <v>0</v>
      </c>
      <c r="C752" s="171"/>
      <c r="D752" s="171"/>
      <c r="E752" s="172"/>
    </row>
    <row r="753" s="151" customFormat="1" ht="15.95" hidden="1" customHeight="1" spans="1:5">
      <c r="A753" s="173" t="s">
        <v>645</v>
      </c>
      <c r="B753" s="171">
        <v>0</v>
      </c>
      <c r="C753" s="171"/>
      <c r="D753" s="171"/>
      <c r="E753" s="172"/>
    </row>
    <row r="754" s="151" customFormat="1" ht="15.95" hidden="1" customHeight="1" spans="1:5">
      <c r="A754" s="176" t="s">
        <v>116</v>
      </c>
      <c r="B754" s="178">
        <v>0</v>
      </c>
      <c r="C754" s="178"/>
      <c r="D754" s="178"/>
      <c r="E754" s="172"/>
    </row>
    <row r="755" s="151" customFormat="1" ht="15.95" customHeight="1" spans="1:5">
      <c r="A755" s="173" t="s">
        <v>646</v>
      </c>
      <c r="B755" s="171">
        <v>158</v>
      </c>
      <c r="C755" s="171">
        <v>574</v>
      </c>
      <c r="D755" s="171">
        <v>574</v>
      </c>
      <c r="E755" s="172">
        <f t="shared" ref="E755:E758" si="56">D755/B755</f>
        <v>3.63291139240506</v>
      </c>
    </row>
    <row r="756" s="151" customFormat="1" ht="15.95" customHeight="1" spans="1:5">
      <c r="A756" s="179" t="s">
        <v>647</v>
      </c>
      <c r="B756" s="174">
        <v>45</v>
      </c>
      <c r="C756" s="174">
        <v>2</v>
      </c>
      <c r="D756" s="174">
        <v>2</v>
      </c>
      <c r="E756" s="165">
        <f t="shared" si="56"/>
        <v>0.0444444444444444</v>
      </c>
    </row>
    <row r="757" s="151" customFormat="1" ht="15.95" customHeight="1" spans="1:5">
      <c r="A757" s="173" t="s">
        <v>648</v>
      </c>
      <c r="B757" s="171">
        <v>45</v>
      </c>
      <c r="C757" s="171">
        <v>2</v>
      </c>
      <c r="D757" s="171">
        <v>2</v>
      </c>
      <c r="E757" s="172">
        <f t="shared" si="56"/>
        <v>0.0444444444444444</v>
      </c>
    </row>
    <row r="758" s="151" customFormat="1" ht="15.95" customHeight="1" spans="1:5">
      <c r="A758" s="166" t="s">
        <v>649</v>
      </c>
      <c r="B758" s="167">
        <v>163</v>
      </c>
      <c r="C758" s="167">
        <v>490</v>
      </c>
      <c r="D758" s="167">
        <v>490</v>
      </c>
      <c r="E758" s="165">
        <f t="shared" si="56"/>
        <v>3.00613496932515</v>
      </c>
    </row>
    <row r="759" s="151" customFormat="1" ht="15.95" hidden="1" customHeight="1" spans="1:5">
      <c r="A759" s="173" t="s">
        <v>650</v>
      </c>
      <c r="B759" s="171"/>
      <c r="C759" s="171"/>
      <c r="D759" s="171"/>
      <c r="E759" s="165"/>
    </row>
    <row r="760" s="151" customFormat="1" ht="15.95" hidden="1" customHeight="1" spans="1:5">
      <c r="A760" s="173" t="s">
        <v>108</v>
      </c>
      <c r="B760" s="171"/>
      <c r="C760" s="171"/>
      <c r="D760" s="171"/>
      <c r="E760" s="165"/>
    </row>
    <row r="761" s="151" customFormat="1" ht="15.95" hidden="1" customHeight="1" spans="1:5">
      <c r="A761" s="173" t="s">
        <v>109</v>
      </c>
      <c r="B761" s="171"/>
      <c r="C761" s="171"/>
      <c r="D761" s="171"/>
      <c r="E761" s="165"/>
    </row>
    <row r="762" s="151" customFormat="1" ht="15.95" customHeight="1" spans="1:5">
      <c r="A762" s="173" t="s">
        <v>651</v>
      </c>
      <c r="B762" s="171">
        <v>163</v>
      </c>
      <c r="C762" s="171">
        <v>490</v>
      </c>
      <c r="D762" s="171">
        <v>490</v>
      </c>
      <c r="E762" s="172">
        <f>D762/B762</f>
        <v>3.00613496932515</v>
      </c>
    </row>
    <row r="763" s="151" customFormat="1" ht="15.95" hidden="1" customHeight="1" spans="1:5">
      <c r="A763" s="173" t="s">
        <v>652</v>
      </c>
      <c r="B763" s="171"/>
      <c r="C763" s="171"/>
      <c r="D763" s="171"/>
      <c r="E763" s="165"/>
    </row>
    <row r="764" s="151" customFormat="1" ht="15.95" hidden="1" customHeight="1" spans="1:5">
      <c r="A764" s="179" t="s">
        <v>653</v>
      </c>
      <c r="B764" s="174"/>
      <c r="C764" s="174"/>
      <c r="D764" s="174"/>
      <c r="E764" s="165"/>
    </row>
    <row r="765" s="151" customFormat="1" ht="15.95" hidden="1" customHeight="1" spans="1:5">
      <c r="A765" s="173" t="s">
        <v>107</v>
      </c>
      <c r="B765" s="171"/>
      <c r="C765" s="171"/>
      <c r="D765" s="171"/>
      <c r="E765" s="165"/>
    </row>
    <row r="766" s="151" customFormat="1" ht="15.95" hidden="1" customHeight="1" spans="1:5">
      <c r="A766" s="173" t="s">
        <v>108</v>
      </c>
      <c r="B766" s="171"/>
      <c r="C766" s="171"/>
      <c r="D766" s="171"/>
      <c r="E766" s="165"/>
    </row>
    <row r="767" s="151" customFormat="1" ht="15.95" hidden="1" customHeight="1" spans="1:5">
      <c r="A767" s="173" t="s">
        <v>109</v>
      </c>
      <c r="B767" s="171"/>
      <c r="C767" s="171"/>
      <c r="D767" s="171"/>
      <c r="E767" s="165"/>
    </row>
    <row r="768" s="151" customFormat="1" ht="15.95" hidden="1" customHeight="1" spans="1:5">
      <c r="A768" s="173" t="s">
        <v>654</v>
      </c>
      <c r="B768" s="171"/>
      <c r="C768" s="171"/>
      <c r="D768" s="171"/>
      <c r="E768" s="165"/>
    </row>
    <row r="769" s="151" customFormat="1" ht="15.95" customHeight="1" spans="1:5">
      <c r="A769" s="179" t="s">
        <v>655</v>
      </c>
      <c r="B769" s="174">
        <v>56</v>
      </c>
      <c r="C769" s="174">
        <v>836</v>
      </c>
      <c r="D769" s="174">
        <v>836</v>
      </c>
      <c r="E769" s="165">
        <f t="shared" ref="E769:E773" si="57">D769/B769</f>
        <v>14.9285714285714</v>
      </c>
    </row>
    <row r="770" s="151" customFormat="1" ht="15.95" customHeight="1" spans="1:5">
      <c r="A770" s="173" t="s">
        <v>656</v>
      </c>
      <c r="B770" s="171">
        <v>56</v>
      </c>
      <c r="C770" s="171">
        <v>836</v>
      </c>
      <c r="D770" s="171">
        <v>836</v>
      </c>
      <c r="E770" s="172">
        <f t="shared" si="57"/>
        <v>14.9285714285714</v>
      </c>
    </row>
    <row r="771" s="151" customFormat="1" ht="15.95" customHeight="1" spans="1:5">
      <c r="A771" s="179" t="s">
        <v>657</v>
      </c>
      <c r="B771" s="174">
        <v>6259</v>
      </c>
      <c r="C771" s="174">
        <f>C772+C782+C786+C795+C802+C817+C840</f>
        <v>10935</v>
      </c>
      <c r="D771" s="174">
        <f>D772+D782+D786+D795+D802+D817+D840</f>
        <v>13305</v>
      </c>
      <c r="E771" s="165">
        <f t="shared" si="57"/>
        <v>2.12573893593226</v>
      </c>
    </row>
    <row r="772" s="151" customFormat="1" ht="15.95" customHeight="1" spans="1:5">
      <c r="A772" s="179" t="s">
        <v>658</v>
      </c>
      <c r="B772" s="174">
        <v>1794</v>
      </c>
      <c r="C772" s="174">
        <v>230</v>
      </c>
      <c r="D772" s="174">
        <v>230</v>
      </c>
      <c r="E772" s="165">
        <f t="shared" si="57"/>
        <v>0.128205128205128</v>
      </c>
    </row>
    <row r="773" s="151" customFormat="1" ht="15.95" customHeight="1" spans="1:5">
      <c r="A773" s="173" t="s">
        <v>107</v>
      </c>
      <c r="B773" s="171">
        <v>130</v>
      </c>
      <c r="C773" s="171">
        <v>159</v>
      </c>
      <c r="D773" s="171">
        <v>159</v>
      </c>
      <c r="E773" s="172">
        <f t="shared" si="57"/>
        <v>1.22307692307692</v>
      </c>
    </row>
    <row r="774" s="151" customFormat="1" ht="15.95" hidden="1" customHeight="1" spans="1:5">
      <c r="A774" s="173" t="s">
        <v>108</v>
      </c>
      <c r="B774" s="171">
        <v>0</v>
      </c>
      <c r="C774" s="171"/>
      <c r="D774" s="171"/>
      <c r="E774" s="172"/>
    </row>
    <row r="775" s="151" customFormat="1" ht="15.95" hidden="1" customHeight="1" spans="1:5">
      <c r="A775" s="176" t="s">
        <v>109</v>
      </c>
      <c r="B775" s="178">
        <v>0</v>
      </c>
      <c r="C775" s="178"/>
      <c r="D775" s="178"/>
      <c r="E775" s="172"/>
    </row>
    <row r="776" s="151" customFormat="1" ht="15.95" hidden="1" customHeight="1" spans="1:5">
      <c r="A776" s="173" t="s">
        <v>659</v>
      </c>
      <c r="B776" s="171">
        <v>0</v>
      </c>
      <c r="C776" s="171"/>
      <c r="D776" s="171"/>
      <c r="E776" s="172"/>
    </row>
    <row r="777" s="151" customFormat="1" ht="15.95" hidden="1" customHeight="1" spans="1:5">
      <c r="A777" s="173" t="s">
        <v>660</v>
      </c>
      <c r="B777" s="171">
        <v>0</v>
      </c>
      <c r="C777" s="171"/>
      <c r="D777" s="171"/>
      <c r="E777" s="172"/>
    </row>
    <row r="778" s="151" customFormat="1" ht="15.95" hidden="1" customHeight="1" spans="1:5">
      <c r="A778" s="173" t="s">
        <v>661</v>
      </c>
      <c r="B778" s="171">
        <v>0</v>
      </c>
      <c r="C778" s="171"/>
      <c r="D778" s="171"/>
      <c r="E778" s="172"/>
    </row>
    <row r="779" s="151" customFormat="1" ht="15.95" hidden="1" customHeight="1" spans="1:5">
      <c r="A779" s="173" t="s">
        <v>662</v>
      </c>
      <c r="B779" s="171">
        <v>0</v>
      </c>
      <c r="C779" s="171"/>
      <c r="D779" s="171"/>
      <c r="E779" s="172"/>
    </row>
    <row r="780" s="151" customFormat="1" ht="15.95" hidden="1" customHeight="1" spans="1:5">
      <c r="A780" s="173" t="s">
        <v>663</v>
      </c>
      <c r="B780" s="171">
        <v>0</v>
      </c>
      <c r="C780" s="171"/>
      <c r="D780" s="171"/>
      <c r="E780" s="172"/>
    </row>
    <row r="781" s="151" customFormat="1" ht="15.95" customHeight="1" spans="1:5">
      <c r="A781" s="173" t="s">
        <v>664</v>
      </c>
      <c r="B781" s="171">
        <v>1664</v>
      </c>
      <c r="C781" s="171">
        <v>71</v>
      </c>
      <c r="D781" s="171">
        <v>71</v>
      </c>
      <c r="E781" s="172">
        <f t="shared" ref="E781:E783" si="58">D781/B781</f>
        <v>0.0426682692307692</v>
      </c>
    </row>
    <row r="782" s="151" customFormat="1" ht="15.95" customHeight="1" spans="1:5">
      <c r="A782" s="166" t="s">
        <v>665</v>
      </c>
      <c r="B782" s="167">
        <v>234</v>
      </c>
      <c r="C782" s="167">
        <v>250</v>
      </c>
      <c r="D782" s="167">
        <v>250</v>
      </c>
      <c r="E782" s="165">
        <f t="shared" si="58"/>
        <v>1.06837606837607</v>
      </c>
    </row>
    <row r="783" s="151" customFormat="1" ht="15.95" customHeight="1" spans="1:5">
      <c r="A783" s="173" t="s">
        <v>666</v>
      </c>
      <c r="B783" s="171">
        <v>234</v>
      </c>
      <c r="C783" s="171">
        <v>250</v>
      </c>
      <c r="D783" s="171">
        <v>250</v>
      </c>
      <c r="E783" s="172">
        <f t="shared" si="58"/>
        <v>1.06837606837607</v>
      </c>
    </row>
    <row r="784" s="151" customFormat="1" ht="15.95" hidden="1" customHeight="1" spans="1:5">
      <c r="A784" s="173" t="s">
        <v>667</v>
      </c>
      <c r="B784" s="171">
        <v>0</v>
      </c>
      <c r="C784" s="171"/>
      <c r="D784" s="171"/>
      <c r="E784" s="165"/>
    </row>
    <row r="785" s="151" customFormat="1" ht="15.95" hidden="1" customHeight="1" spans="1:5">
      <c r="A785" s="173" t="s">
        <v>668</v>
      </c>
      <c r="B785" s="171">
        <v>0</v>
      </c>
      <c r="C785" s="171"/>
      <c r="D785" s="171"/>
      <c r="E785" s="165"/>
    </row>
    <row r="786" s="151" customFormat="1" ht="15.95" customHeight="1" spans="1:5">
      <c r="A786" s="179" t="s">
        <v>669</v>
      </c>
      <c r="B786" s="174">
        <v>3189</v>
      </c>
      <c r="C786" s="174">
        <v>7542</v>
      </c>
      <c r="D786" s="174">
        <f>SUM(D787:D793)</f>
        <v>9912</v>
      </c>
      <c r="E786" s="165">
        <f>D786/B786</f>
        <v>3.10818438381938</v>
      </c>
    </row>
    <row r="787" s="151" customFormat="1" ht="15.95" customHeight="1" spans="1:5">
      <c r="A787" s="173" t="s">
        <v>670</v>
      </c>
      <c r="B787" s="171">
        <v>0</v>
      </c>
      <c r="C787" s="171">
        <v>3953</v>
      </c>
      <c r="D787" s="171">
        <f>3953+870-850</f>
        <v>3973</v>
      </c>
      <c r="E787" s="165"/>
    </row>
    <row r="788" s="151" customFormat="1" ht="15.95" customHeight="1" spans="1:5">
      <c r="A788" s="173" t="s">
        <v>671</v>
      </c>
      <c r="B788" s="171">
        <v>3189</v>
      </c>
      <c r="C788" s="171">
        <v>1150</v>
      </c>
      <c r="D788" s="171">
        <f>1150+2350</f>
        <v>3500</v>
      </c>
      <c r="E788" s="172">
        <f>D788/B788</f>
        <v>1.0975227343995</v>
      </c>
    </row>
    <row r="789" s="151" customFormat="1" ht="15.95" hidden="1" customHeight="1" spans="1:5">
      <c r="A789" s="176" t="s">
        <v>672</v>
      </c>
      <c r="B789" s="178">
        <v>0</v>
      </c>
      <c r="C789" s="178"/>
      <c r="D789" s="178"/>
      <c r="E789" s="165"/>
    </row>
    <row r="790" s="151" customFormat="1" ht="15.95" hidden="1" customHeight="1" spans="1:5">
      <c r="A790" s="173" t="s">
        <v>673</v>
      </c>
      <c r="B790" s="171">
        <v>0</v>
      </c>
      <c r="C790" s="171"/>
      <c r="D790" s="171"/>
      <c r="E790" s="165"/>
    </row>
    <row r="791" s="151" customFormat="1" ht="15.95" hidden="1" customHeight="1" spans="1:5">
      <c r="A791" s="173" t="s">
        <v>674</v>
      </c>
      <c r="B791" s="171">
        <v>0</v>
      </c>
      <c r="C791" s="171"/>
      <c r="D791" s="171"/>
      <c r="E791" s="165"/>
    </row>
    <row r="792" s="151" customFormat="1" ht="15.95" hidden="1" customHeight="1" spans="1:5">
      <c r="A792" s="173" t="s">
        <v>675</v>
      </c>
      <c r="B792" s="171">
        <v>0</v>
      </c>
      <c r="C792" s="171"/>
      <c r="D792" s="171"/>
      <c r="E792" s="165"/>
    </row>
    <row r="793" s="151" customFormat="1" ht="15.95" customHeight="1" spans="1:5">
      <c r="A793" s="173" t="s">
        <v>676</v>
      </c>
      <c r="B793" s="171">
        <v>0</v>
      </c>
      <c r="C793" s="171">
        <v>2439</v>
      </c>
      <c r="D793" s="171">
        <v>2439</v>
      </c>
      <c r="E793" s="165"/>
    </row>
    <row r="794" s="151" customFormat="1" ht="15.95" hidden="1" customHeight="1" spans="1:5">
      <c r="A794" s="173" t="s">
        <v>677</v>
      </c>
      <c r="B794" s="171">
        <v>0</v>
      </c>
      <c r="C794" s="171"/>
      <c r="D794" s="171"/>
      <c r="E794" s="165"/>
    </row>
    <row r="795" s="151" customFormat="1" ht="15.95" customHeight="1" spans="1:5">
      <c r="A795" s="166" t="s">
        <v>678</v>
      </c>
      <c r="B795" s="167">
        <v>1022</v>
      </c>
      <c r="C795" s="167">
        <v>2281</v>
      </c>
      <c r="D795" s="167">
        <v>2281</v>
      </c>
      <c r="E795" s="165">
        <f t="shared" ref="E795:E797" si="59">D795/B795</f>
        <v>2.23189823874755</v>
      </c>
    </row>
    <row r="796" s="151" customFormat="1" ht="15.95" customHeight="1" spans="1:5">
      <c r="A796" s="173" t="s">
        <v>679</v>
      </c>
      <c r="B796" s="171">
        <v>292</v>
      </c>
      <c r="C796" s="171">
        <v>488</v>
      </c>
      <c r="D796" s="171">
        <v>488</v>
      </c>
      <c r="E796" s="172">
        <f t="shared" si="59"/>
        <v>1.67123287671233</v>
      </c>
    </row>
    <row r="797" s="151" customFormat="1" ht="15.95" customHeight="1" spans="1:5">
      <c r="A797" s="173" t="s">
        <v>680</v>
      </c>
      <c r="B797" s="171">
        <v>730</v>
      </c>
      <c r="C797" s="171">
        <v>730</v>
      </c>
      <c r="D797" s="171">
        <v>730</v>
      </c>
      <c r="E797" s="172">
        <f t="shared" si="59"/>
        <v>1</v>
      </c>
    </row>
    <row r="798" s="151" customFormat="1" ht="15.95" hidden="1" customHeight="1" spans="1:5">
      <c r="A798" s="176" t="s">
        <v>681</v>
      </c>
      <c r="B798" s="178">
        <v>0</v>
      </c>
      <c r="C798" s="178"/>
      <c r="D798" s="178"/>
      <c r="E798" s="165"/>
    </row>
    <row r="799" s="151" customFormat="1" ht="15.95" hidden="1" customHeight="1" spans="1:5">
      <c r="A799" s="173" t="s">
        <v>682</v>
      </c>
      <c r="B799" s="171">
        <v>0</v>
      </c>
      <c r="C799" s="171"/>
      <c r="D799" s="171"/>
      <c r="E799" s="165"/>
    </row>
    <row r="800" s="151" customFormat="1" ht="15.95" customHeight="1" spans="1:5">
      <c r="A800" s="173" t="s">
        <v>683</v>
      </c>
      <c r="B800" s="171">
        <v>0</v>
      </c>
      <c r="C800" s="171">
        <v>1063</v>
      </c>
      <c r="D800" s="171">
        <v>1063</v>
      </c>
      <c r="E800" s="165"/>
    </row>
    <row r="801" s="151" customFormat="1" ht="15.95" hidden="1" customHeight="1" spans="1:5">
      <c r="A801" s="173" t="s">
        <v>684</v>
      </c>
      <c r="B801" s="171">
        <v>0</v>
      </c>
      <c r="C801" s="171"/>
      <c r="D801" s="171"/>
      <c r="E801" s="165"/>
    </row>
    <row r="802" s="151" customFormat="1" ht="15.95" customHeight="1" spans="1:5">
      <c r="A802" s="63" t="s">
        <v>685</v>
      </c>
      <c r="B802" s="174">
        <v>20</v>
      </c>
      <c r="C802" s="174">
        <v>488</v>
      </c>
      <c r="D802" s="174">
        <v>488</v>
      </c>
      <c r="E802" s="165">
        <f>D802/B802</f>
        <v>24.4</v>
      </c>
    </row>
    <row r="803" s="151" customFormat="1" ht="15.95" customHeight="1" spans="1:5">
      <c r="A803" s="65" t="s">
        <v>686</v>
      </c>
      <c r="B803" s="171">
        <v>20</v>
      </c>
      <c r="C803" s="171">
        <v>488</v>
      </c>
      <c r="D803" s="171">
        <v>488</v>
      </c>
      <c r="E803" s="172">
        <f>D803/B803</f>
        <v>24.4</v>
      </c>
    </row>
    <row r="804" s="151" customFormat="1" ht="15.95" hidden="1" customHeight="1" spans="1:5">
      <c r="A804" s="65" t="s">
        <v>687</v>
      </c>
      <c r="B804" s="174">
        <v>0</v>
      </c>
      <c r="C804" s="174"/>
      <c r="D804" s="174"/>
      <c r="E804" s="165"/>
    </row>
    <row r="805" s="151" customFormat="1" ht="15.95" hidden="1" customHeight="1" spans="1:5">
      <c r="A805" s="65" t="s">
        <v>688</v>
      </c>
      <c r="B805" s="174">
        <v>0</v>
      </c>
      <c r="C805" s="174"/>
      <c r="D805" s="174"/>
      <c r="E805" s="165"/>
    </row>
    <row r="806" s="151" customFormat="1" ht="15.95" hidden="1" customHeight="1" spans="1:5">
      <c r="A806" s="65" t="s">
        <v>689</v>
      </c>
      <c r="B806" s="174">
        <v>0</v>
      </c>
      <c r="C806" s="174"/>
      <c r="D806" s="174"/>
      <c r="E806" s="165"/>
    </row>
    <row r="807" s="151" customFormat="1" ht="15.95" hidden="1" customHeight="1" spans="1:5">
      <c r="A807" s="65" t="s">
        <v>690</v>
      </c>
      <c r="B807" s="174">
        <v>0</v>
      </c>
      <c r="C807" s="174"/>
      <c r="D807" s="174"/>
      <c r="E807" s="165"/>
    </row>
    <row r="808" s="151" customFormat="1" ht="15.95" hidden="1" customHeight="1" spans="1:5">
      <c r="A808" s="65" t="s">
        <v>691</v>
      </c>
      <c r="B808" s="174">
        <v>0</v>
      </c>
      <c r="C808" s="174"/>
      <c r="D808" s="174"/>
      <c r="E808" s="165"/>
    </row>
    <row r="809" s="151" customFormat="1" ht="15.95" hidden="1" customHeight="1" spans="1:5">
      <c r="A809" s="179" t="s">
        <v>692</v>
      </c>
      <c r="B809" s="174">
        <v>0</v>
      </c>
      <c r="C809" s="174">
        <v>0</v>
      </c>
      <c r="D809" s="174">
        <v>0</v>
      </c>
      <c r="E809" s="165"/>
    </row>
    <row r="810" s="151" customFormat="1" ht="15.95" hidden="1" customHeight="1" spans="1:5">
      <c r="A810" s="173" t="s">
        <v>693</v>
      </c>
      <c r="B810" s="171"/>
      <c r="C810" s="171"/>
      <c r="D810" s="171"/>
      <c r="E810" s="165"/>
    </row>
    <row r="811" s="151" customFormat="1" ht="15.95" hidden="1" customHeight="1" spans="1:5">
      <c r="A811" s="173" t="s">
        <v>694</v>
      </c>
      <c r="B811" s="171"/>
      <c r="C811" s="171"/>
      <c r="D811" s="171"/>
      <c r="E811" s="165"/>
    </row>
    <row r="812" s="151" customFormat="1" ht="15.95" hidden="1" customHeight="1" spans="1:5">
      <c r="A812" s="179" t="s">
        <v>695</v>
      </c>
      <c r="B812" s="174">
        <v>0</v>
      </c>
      <c r="C812" s="174">
        <v>0</v>
      </c>
      <c r="D812" s="174">
        <v>0</v>
      </c>
      <c r="E812" s="165"/>
    </row>
    <row r="813" s="151" customFormat="1" ht="15.95" hidden="1" customHeight="1" spans="1:5">
      <c r="A813" s="173" t="s">
        <v>696</v>
      </c>
      <c r="B813" s="171"/>
      <c r="C813" s="171"/>
      <c r="D813" s="171"/>
      <c r="E813" s="165"/>
    </row>
    <row r="814" s="151" customFormat="1" ht="15.95" hidden="1" customHeight="1" spans="1:5">
      <c r="A814" s="173" t="s">
        <v>697</v>
      </c>
      <c r="B814" s="171"/>
      <c r="C814" s="171"/>
      <c r="D814" s="171"/>
      <c r="E814" s="165"/>
    </row>
    <row r="815" s="151" customFormat="1" ht="15.95" hidden="1" customHeight="1" spans="1:5">
      <c r="A815" s="179" t="s">
        <v>698</v>
      </c>
      <c r="B815" s="174"/>
      <c r="C815" s="174"/>
      <c r="D815" s="174"/>
      <c r="E815" s="165"/>
    </row>
    <row r="816" s="151" customFormat="1" ht="15.95" hidden="1" customHeight="1" spans="1:5">
      <c r="A816" s="65" t="s">
        <v>699</v>
      </c>
      <c r="B816" s="174"/>
      <c r="C816" s="174"/>
      <c r="D816" s="174"/>
      <c r="E816" s="165"/>
    </row>
    <row r="817" s="151" customFormat="1" ht="15.95" customHeight="1" spans="1:5">
      <c r="A817" s="179" t="s">
        <v>700</v>
      </c>
      <c r="B817" s="174"/>
      <c r="C817" s="174">
        <v>70</v>
      </c>
      <c r="D817" s="174">
        <v>70</v>
      </c>
      <c r="E817" s="165"/>
    </row>
    <row r="818" s="151" customFormat="1" ht="15.95" customHeight="1" spans="1:5">
      <c r="A818" s="173" t="s">
        <v>701</v>
      </c>
      <c r="B818" s="167"/>
      <c r="C818" s="178">
        <v>70</v>
      </c>
      <c r="D818" s="178">
        <v>70</v>
      </c>
      <c r="E818" s="165"/>
    </row>
    <row r="819" s="151" customFormat="1" ht="15.95" hidden="1" customHeight="1" spans="1:5">
      <c r="A819" s="166" t="s">
        <v>702</v>
      </c>
      <c r="B819" s="167">
        <v>0</v>
      </c>
      <c r="C819" s="167">
        <v>0</v>
      </c>
      <c r="D819" s="167">
        <v>0</v>
      </c>
      <c r="E819" s="165"/>
    </row>
    <row r="820" s="151" customFormat="1" ht="15.95" hidden="1" customHeight="1" spans="1:5">
      <c r="A820" s="176" t="s">
        <v>703</v>
      </c>
      <c r="B820" s="178"/>
      <c r="C820" s="178"/>
      <c r="D820" s="178"/>
      <c r="E820" s="165"/>
    </row>
    <row r="821" s="151" customFormat="1" ht="15.95" hidden="1" customHeight="1" spans="1:5">
      <c r="A821" s="173" t="s">
        <v>704</v>
      </c>
      <c r="B821" s="171"/>
      <c r="C821" s="171"/>
      <c r="D821" s="171"/>
      <c r="E821" s="165"/>
    </row>
    <row r="822" s="151" customFormat="1" ht="15.95" hidden="1" customHeight="1" spans="1:5">
      <c r="A822" s="173" t="s">
        <v>705</v>
      </c>
      <c r="B822" s="171"/>
      <c r="C822" s="171"/>
      <c r="D822" s="171"/>
      <c r="E822" s="165"/>
    </row>
    <row r="823" s="151" customFormat="1" ht="15.95" hidden="1" customHeight="1" spans="1:5">
      <c r="A823" s="173" t="s">
        <v>706</v>
      </c>
      <c r="B823" s="171"/>
      <c r="C823" s="171"/>
      <c r="D823" s="171"/>
      <c r="E823" s="165"/>
    </row>
    <row r="824" s="151" customFormat="1" ht="15.95" hidden="1" customHeight="1" spans="1:5">
      <c r="A824" s="173" t="s">
        <v>707</v>
      </c>
      <c r="B824" s="171"/>
      <c r="C824" s="171"/>
      <c r="D824" s="171"/>
      <c r="E824" s="165"/>
    </row>
    <row r="825" s="151" customFormat="1" ht="15.95" hidden="1" customHeight="1" spans="1:5">
      <c r="A825" s="179" t="s">
        <v>708</v>
      </c>
      <c r="B825" s="174"/>
      <c r="C825" s="174"/>
      <c r="D825" s="174"/>
      <c r="E825" s="165"/>
    </row>
    <row r="826" s="151" customFormat="1" ht="15.95" hidden="1" customHeight="1" spans="1:5">
      <c r="A826" s="173" t="s">
        <v>709</v>
      </c>
      <c r="B826" s="174"/>
      <c r="C826" s="174"/>
      <c r="D826" s="174"/>
      <c r="E826" s="165"/>
    </row>
    <row r="827" s="151" customFormat="1" ht="15.95" hidden="1" customHeight="1" spans="1:5">
      <c r="A827" s="179" t="s">
        <v>710</v>
      </c>
      <c r="B827" s="174"/>
      <c r="C827" s="174"/>
      <c r="D827" s="174"/>
      <c r="E827" s="165"/>
    </row>
    <row r="828" s="151" customFormat="1" ht="15.95" hidden="1" customHeight="1" spans="1:5">
      <c r="A828" s="173" t="s">
        <v>711</v>
      </c>
      <c r="B828" s="174"/>
      <c r="C828" s="174"/>
      <c r="D828" s="174"/>
      <c r="E828" s="165"/>
    </row>
    <row r="829" s="151" customFormat="1" ht="15.95" hidden="1" customHeight="1" spans="1:5">
      <c r="A829" s="179" t="s">
        <v>712</v>
      </c>
      <c r="B829" s="174">
        <v>0</v>
      </c>
      <c r="C829" s="174">
        <v>0</v>
      </c>
      <c r="D829" s="174">
        <v>0</v>
      </c>
      <c r="E829" s="165"/>
    </row>
    <row r="830" s="151" customFormat="1" ht="15.95" hidden="1" customHeight="1" spans="1:5">
      <c r="A830" s="173" t="s">
        <v>107</v>
      </c>
      <c r="B830" s="171"/>
      <c r="C830" s="171"/>
      <c r="D830" s="171"/>
      <c r="E830" s="165"/>
    </row>
    <row r="831" s="151" customFormat="1" ht="15.95" hidden="1" customHeight="1" spans="1:5">
      <c r="A831" s="173" t="s">
        <v>108</v>
      </c>
      <c r="B831" s="171"/>
      <c r="C831" s="171"/>
      <c r="D831" s="171"/>
      <c r="E831" s="165"/>
    </row>
    <row r="832" s="151" customFormat="1" ht="15.95" hidden="1" customHeight="1" spans="1:5">
      <c r="A832" s="173" t="s">
        <v>109</v>
      </c>
      <c r="B832" s="171"/>
      <c r="C832" s="171"/>
      <c r="D832" s="171"/>
      <c r="E832" s="165"/>
    </row>
    <row r="833" s="151" customFormat="1" ht="15.95" hidden="1" customHeight="1" spans="1:5">
      <c r="A833" s="173" t="s">
        <v>713</v>
      </c>
      <c r="B833" s="171"/>
      <c r="C833" s="171"/>
      <c r="D833" s="171"/>
      <c r="E833" s="165"/>
    </row>
    <row r="834" s="151" customFormat="1" ht="15.95" hidden="1" customHeight="1" spans="1:5">
      <c r="A834" s="176" t="s">
        <v>714</v>
      </c>
      <c r="B834" s="178"/>
      <c r="C834" s="178"/>
      <c r="D834" s="178"/>
      <c r="E834" s="165"/>
    </row>
    <row r="835" s="151" customFormat="1" ht="15.95" hidden="1" customHeight="1" spans="1:5">
      <c r="A835" s="173" t="s">
        <v>715</v>
      </c>
      <c r="B835" s="171"/>
      <c r="C835" s="171"/>
      <c r="D835" s="171"/>
      <c r="E835" s="165"/>
    </row>
    <row r="836" s="151" customFormat="1" ht="15.95" hidden="1" customHeight="1" spans="1:5">
      <c r="A836" s="173" t="s">
        <v>147</v>
      </c>
      <c r="B836" s="171"/>
      <c r="C836" s="171"/>
      <c r="D836" s="171"/>
      <c r="E836" s="165"/>
    </row>
    <row r="837" s="151" customFormat="1" ht="15.95" hidden="1" customHeight="1" spans="1:5">
      <c r="A837" s="173" t="s">
        <v>716</v>
      </c>
      <c r="B837" s="171"/>
      <c r="C837" s="171"/>
      <c r="D837" s="171"/>
      <c r="E837" s="165"/>
    </row>
    <row r="838" s="151" customFormat="1" ht="15.95" hidden="1" customHeight="1" spans="1:5">
      <c r="A838" s="173" t="s">
        <v>116</v>
      </c>
      <c r="B838" s="171"/>
      <c r="C838" s="171"/>
      <c r="D838" s="171"/>
      <c r="E838" s="165"/>
    </row>
    <row r="839" s="151" customFormat="1" ht="15.95" hidden="1" customHeight="1" spans="1:5">
      <c r="A839" s="173" t="s">
        <v>717</v>
      </c>
      <c r="B839" s="171"/>
      <c r="C839" s="171"/>
      <c r="D839" s="171"/>
      <c r="E839" s="165"/>
    </row>
    <row r="840" s="151" customFormat="1" ht="15.95" customHeight="1" spans="1:5">
      <c r="A840" s="166" t="s">
        <v>718</v>
      </c>
      <c r="B840" s="167">
        <v>73.84</v>
      </c>
      <c r="C840" s="167">
        <v>74</v>
      </c>
      <c r="D840" s="167">
        <v>74</v>
      </c>
      <c r="E840" s="165">
        <f t="shared" ref="E840:E844" si="60">D840/B840</f>
        <v>1.00216684723727</v>
      </c>
    </row>
    <row r="841" s="151" customFormat="1" ht="15.95" customHeight="1" spans="1:5">
      <c r="A841" s="176" t="s">
        <v>719</v>
      </c>
      <c r="B841" s="178">
        <v>73.84</v>
      </c>
      <c r="C841" s="178">
        <v>74</v>
      </c>
      <c r="D841" s="178">
        <v>74</v>
      </c>
      <c r="E841" s="172">
        <f t="shared" si="60"/>
        <v>1.00216684723727</v>
      </c>
    </row>
    <row r="842" s="151" customFormat="1" ht="15.95" customHeight="1" spans="1:5">
      <c r="A842" s="179" t="s">
        <v>720</v>
      </c>
      <c r="B842" s="174">
        <v>30298</v>
      </c>
      <c r="C842" s="174">
        <f>C843+C863</f>
        <v>11389</v>
      </c>
      <c r="D842" s="174">
        <f>D843+D863+D856</f>
        <v>22840</v>
      </c>
      <c r="E842" s="165">
        <f t="shared" si="60"/>
        <v>0.753845138292957</v>
      </c>
    </row>
    <row r="843" s="151" customFormat="1" ht="15.95" customHeight="1" spans="1:5">
      <c r="A843" s="63" t="s">
        <v>721</v>
      </c>
      <c r="B843" s="174">
        <v>16047</v>
      </c>
      <c r="C843" s="174">
        <v>5480</v>
      </c>
      <c r="D843" s="174">
        <f>SUM(D844:D855)</f>
        <v>5334</v>
      </c>
      <c r="E843" s="165">
        <f t="shared" si="60"/>
        <v>0.332398579173677</v>
      </c>
    </row>
    <row r="844" s="151" customFormat="1" ht="15.95" customHeight="1" spans="1:5">
      <c r="A844" s="65" t="s">
        <v>107</v>
      </c>
      <c r="B844" s="171">
        <v>3633</v>
      </c>
      <c r="C844" s="171">
        <v>3844</v>
      </c>
      <c r="D844" s="171">
        <f>3844-138</f>
        <v>3706</v>
      </c>
      <c r="E844" s="172">
        <f t="shared" si="60"/>
        <v>1.02009358656758</v>
      </c>
    </row>
    <row r="845" s="151" customFormat="1" ht="15.95" hidden="1" customHeight="1" spans="1:5">
      <c r="A845" s="65" t="s">
        <v>590</v>
      </c>
      <c r="B845" s="171">
        <v>0</v>
      </c>
      <c r="C845" s="171"/>
      <c r="D845" s="171"/>
      <c r="E845" s="172"/>
    </row>
    <row r="846" s="151" customFormat="1" ht="15.95" hidden="1" customHeight="1" spans="1:5">
      <c r="A846" s="65" t="s">
        <v>109</v>
      </c>
      <c r="B846" s="171">
        <v>0</v>
      </c>
      <c r="C846" s="171"/>
      <c r="D846" s="171"/>
      <c r="E846" s="172"/>
    </row>
    <row r="847" s="151" customFormat="1" ht="15.95" hidden="1" customHeight="1" spans="1:5">
      <c r="A847" s="65" t="s">
        <v>722</v>
      </c>
      <c r="B847" s="171">
        <v>0</v>
      </c>
      <c r="C847" s="171"/>
      <c r="D847" s="171"/>
      <c r="E847" s="172"/>
    </row>
    <row r="848" s="151" customFormat="1" ht="15.95" hidden="1" customHeight="1" spans="1:5">
      <c r="A848" s="65" t="s">
        <v>723</v>
      </c>
      <c r="B848" s="171">
        <v>0</v>
      </c>
      <c r="C848" s="171"/>
      <c r="D848" s="171"/>
      <c r="E848" s="172"/>
    </row>
    <row r="849" s="151" customFormat="1" ht="15.95" customHeight="1" spans="1:5">
      <c r="A849" s="65" t="s">
        <v>724</v>
      </c>
      <c r="B849" s="171">
        <v>2</v>
      </c>
      <c r="C849" s="171">
        <v>8</v>
      </c>
      <c r="D849" s="171">
        <v>8</v>
      </c>
      <c r="E849" s="172">
        <f>D849/B849</f>
        <v>4</v>
      </c>
    </row>
    <row r="850" s="151" customFormat="1" ht="15.95" hidden="1" customHeight="1" spans="1:5">
      <c r="A850" s="65" t="s">
        <v>725</v>
      </c>
      <c r="B850" s="171">
        <v>0</v>
      </c>
      <c r="C850" s="171"/>
      <c r="D850" s="171"/>
      <c r="E850" s="172"/>
    </row>
    <row r="851" s="151" customFormat="1" ht="15.95" hidden="1" customHeight="1" spans="1:5">
      <c r="A851" s="65" t="s">
        <v>726</v>
      </c>
      <c r="B851" s="171">
        <v>0</v>
      </c>
      <c r="C851" s="171"/>
      <c r="D851" s="171"/>
      <c r="E851" s="172"/>
    </row>
    <row r="852" s="151" customFormat="1" ht="15.95" hidden="1" customHeight="1" spans="1:5">
      <c r="A852" s="65" t="s">
        <v>727</v>
      </c>
      <c r="B852" s="171">
        <v>0</v>
      </c>
      <c r="C852" s="171"/>
      <c r="D852" s="171"/>
      <c r="E852" s="172"/>
    </row>
    <row r="853" s="151" customFormat="1" ht="15.95" customHeight="1" spans="1:5">
      <c r="A853" s="65" t="s">
        <v>728</v>
      </c>
      <c r="B853" s="171">
        <v>12412</v>
      </c>
      <c r="C853" s="171">
        <v>1628</v>
      </c>
      <c r="D853" s="171">
        <f>1628-8</f>
        <v>1620</v>
      </c>
      <c r="E853" s="172">
        <f t="shared" ref="E853:E860" si="61">D853/B853</f>
        <v>0.130518852723171</v>
      </c>
    </row>
    <row r="854" s="151" customFormat="1" ht="15.95" hidden="1" customHeight="1" spans="1:5">
      <c r="A854" s="63" t="s">
        <v>729</v>
      </c>
      <c r="B854" s="174"/>
      <c r="C854" s="174"/>
      <c r="D854" s="174"/>
      <c r="E854" s="165"/>
    </row>
    <row r="855" s="151" customFormat="1" ht="15.95" hidden="1" customHeight="1" spans="1:5">
      <c r="A855" s="65" t="s">
        <v>730</v>
      </c>
      <c r="B855" s="171"/>
      <c r="C855" s="171"/>
      <c r="D855" s="171"/>
      <c r="E855" s="165"/>
    </row>
    <row r="856" s="151" customFormat="1" ht="15.95" customHeight="1" spans="1:5">
      <c r="A856" s="63" t="s">
        <v>731</v>
      </c>
      <c r="B856" s="174">
        <v>6915</v>
      </c>
      <c r="C856" s="174"/>
      <c r="D856" s="174">
        <f>12680</f>
        <v>12680</v>
      </c>
      <c r="E856" s="165">
        <f t="shared" si="61"/>
        <v>1.83369486623283</v>
      </c>
    </row>
    <row r="857" s="151" customFormat="1" ht="15.95" customHeight="1" spans="1:5">
      <c r="A857" s="65" t="s">
        <v>732</v>
      </c>
      <c r="B857" s="171">
        <v>0</v>
      </c>
      <c r="C857" s="171"/>
      <c r="D857" s="171">
        <v>11480</v>
      </c>
      <c r="E857" s="165"/>
    </row>
    <row r="858" s="151" customFormat="1" ht="15.95" customHeight="1" spans="1:5">
      <c r="A858" s="65" t="s">
        <v>733</v>
      </c>
      <c r="B858" s="171">
        <v>6915</v>
      </c>
      <c r="C858" s="171"/>
      <c r="D858" s="171">
        <v>1200</v>
      </c>
      <c r="E858" s="172">
        <f t="shared" si="61"/>
        <v>0.17353579175705</v>
      </c>
    </row>
    <row r="859" s="151" customFormat="1" ht="15.95" customHeight="1" spans="1:5">
      <c r="A859" s="63" t="s">
        <v>734</v>
      </c>
      <c r="B859" s="174">
        <v>7147</v>
      </c>
      <c r="C859" s="174"/>
      <c r="D859" s="174"/>
      <c r="E859" s="165">
        <f t="shared" si="61"/>
        <v>0</v>
      </c>
    </row>
    <row r="860" s="151" customFormat="1" ht="15.95" customHeight="1" spans="1:5">
      <c r="A860" s="65" t="s">
        <v>735</v>
      </c>
      <c r="B860" s="171">
        <v>7147</v>
      </c>
      <c r="C860" s="171"/>
      <c r="D860" s="171"/>
      <c r="E860" s="172">
        <f t="shared" si="61"/>
        <v>0</v>
      </c>
    </row>
    <row r="861" s="151" customFormat="1" ht="15.95" hidden="1" customHeight="1" spans="1:5">
      <c r="A861" s="63" t="s">
        <v>736</v>
      </c>
      <c r="B861" s="174"/>
      <c r="C861" s="174"/>
      <c r="D861" s="174"/>
      <c r="E861" s="165"/>
    </row>
    <row r="862" s="151" customFormat="1" ht="15.95" hidden="1" customHeight="1" spans="1:5">
      <c r="A862" s="65" t="s">
        <v>737</v>
      </c>
      <c r="B862" s="171"/>
      <c r="C862" s="171"/>
      <c r="D862" s="171"/>
      <c r="E862" s="165"/>
    </row>
    <row r="863" s="151" customFormat="1" ht="15.95" customHeight="1" spans="1:5">
      <c r="A863" s="63" t="s">
        <v>738</v>
      </c>
      <c r="B863" s="174">
        <v>189</v>
      </c>
      <c r="C863" s="174">
        <v>5909</v>
      </c>
      <c r="D863" s="174">
        <f>D864</f>
        <v>4826</v>
      </c>
      <c r="E863" s="165">
        <f t="shared" ref="E863:E867" si="62">D863/B863</f>
        <v>25.5343915343915</v>
      </c>
    </row>
    <row r="864" s="151" customFormat="1" ht="15.95" customHeight="1" spans="1:5">
      <c r="A864" s="65" t="s">
        <v>739</v>
      </c>
      <c r="B864" s="171">
        <v>189</v>
      </c>
      <c r="C864" s="171">
        <v>5909</v>
      </c>
      <c r="D864" s="171">
        <f>5909-1083</f>
        <v>4826</v>
      </c>
      <c r="E864" s="172">
        <f t="shared" si="62"/>
        <v>25.5343915343915</v>
      </c>
    </row>
    <row r="865" s="151" customFormat="1" ht="15.95" customHeight="1" spans="1:5">
      <c r="A865" s="179" t="s">
        <v>740</v>
      </c>
      <c r="B865" s="174">
        <v>97617</v>
      </c>
      <c r="C865" s="174">
        <f>C866+C892+C918+C946+C957+C964+C974</f>
        <v>105032</v>
      </c>
      <c r="D865" s="174">
        <f>D866+D892+D918+D946+D957+D964+D974</f>
        <v>116388</v>
      </c>
      <c r="E865" s="165">
        <f t="shared" si="62"/>
        <v>1.19229232613172</v>
      </c>
    </row>
    <row r="866" s="151" customFormat="1" ht="15.95" customHeight="1" spans="1:5">
      <c r="A866" s="63" t="s">
        <v>741</v>
      </c>
      <c r="B866" s="174">
        <v>30520</v>
      </c>
      <c r="C866" s="174">
        <v>29926</v>
      </c>
      <c r="D866" s="174">
        <f>SUM(D867:D891)</f>
        <v>31860</v>
      </c>
      <c r="E866" s="165">
        <f t="shared" si="62"/>
        <v>1.04390563564875</v>
      </c>
    </row>
    <row r="867" s="151" customFormat="1" ht="15.95" customHeight="1" spans="1:5">
      <c r="A867" s="65" t="s">
        <v>107</v>
      </c>
      <c r="B867" s="171">
        <v>599</v>
      </c>
      <c r="C867" s="171">
        <v>655</v>
      </c>
      <c r="D867" s="171">
        <v>655</v>
      </c>
      <c r="E867" s="172">
        <f t="shared" si="62"/>
        <v>1.09348914858097</v>
      </c>
    </row>
    <row r="868" s="151" customFormat="1" ht="15.95" hidden="1" customHeight="1" spans="1:5">
      <c r="A868" s="65" t="s">
        <v>590</v>
      </c>
      <c r="B868" s="178">
        <v>0</v>
      </c>
      <c r="C868" s="178"/>
      <c r="D868" s="178"/>
      <c r="E868" s="172"/>
    </row>
    <row r="869" s="151" customFormat="1" ht="15.95" hidden="1" customHeight="1" spans="1:5">
      <c r="A869" s="65" t="s">
        <v>109</v>
      </c>
      <c r="B869" s="171">
        <v>0</v>
      </c>
      <c r="C869" s="171"/>
      <c r="D869" s="171"/>
      <c r="E869" s="172"/>
    </row>
    <row r="870" s="151" customFormat="1" ht="15.95" customHeight="1" spans="1:5">
      <c r="A870" s="65" t="s">
        <v>116</v>
      </c>
      <c r="B870" s="171">
        <v>1589</v>
      </c>
      <c r="C870" s="171">
        <v>1608</v>
      </c>
      <c r="D870" s="171">
        <f>1608-66</f>
        <v>1542</v>
      </c>
      <c r="E870" s="172">
        <f t="shared" ref="E870:E874" si="63">D870/B870</f>
        <v>0.970421648835746</v>
      </c>
    </row>
    <row r="871" s="151" customFormat="1" ht="15.95" hidden="1" customHeight="1" spans="1:5">
      <c r="A871" s="65" t="s">
        <v>742</v>
      </c>
      <c r="B871" s="171">
        <v>0</v>
      </c>
      <c r="C871" s="171"/>
      <c r="D871" s="171"/>
      <c r="E871" s="172"/>
    </row>
    <row r="872" s="151" customFormat="1" ht="15.95" hidden="1" customHeight="1" spans="1:5">
      <c r="A872" s="65" t="s">
        <v>743</v>
      </c>
      <c r="B872" s="171">
        <v>0</v>
      </c>
      <c r="C872" s="171"/>
      <c r="D872" s="171"/>
      <c r="E872" s="172"/>
    </row>
    <row r="873" s="151" customFormat="1" ht="15.95" customHeight="1" spans="1:5">
      <c r="A873" s="65" t="s">
        <v>744</v>
      </c>
      <c r="B873" s="171">
        <v>128</v>
      </c>
      <c r="C873" s="171">
        <v>247</v>
      </c>
      <c r="D873" s="171">
        <v>247</v>
      </c>
      <c r="E873" s="172">
        <f t="shared" si="63"/>
        <v>1.9296875</v>
      </c>
    </row>
    <row r="874" s="151" customFormat="1" ht="15.95" customHeight="1" spans="1:5">
      <c r="A874" s="65" t="s">
        <v>745</v>
      </c>
      <c r="B874" s="171">
        <v>235</v>
      </c>
      <c r="C874" s="171">
        <v>18</v>
      </c>
      <c r="D874" s="171">
        <v>18</v>
      </c>
      <c r="E874" s="172">
        <f t="shared" si="63"/>
        <v>0.0765957446808511</v>
      </c>
    </row>
    <row r="875" s="151" customFormat="1" ht="15.95" hidden="1" customHeight="1" spans="1:5">
      <c r="A875" s="65" t="s">
        <v>746</v>
      </c>
      <c r="B875" s="171">
        <v>0</v>
      </c>
      <c r="C875" s="171"/>
      <c r="D875" s="171"/>
      <c r="E875" s="172"/>
    </row>
    <row r="876" s="151" customFormat="1" ht="15.95" hidden="1" customHeight="1" spans="1:5">
      <c r="A876" s="65" t="s">
        <v>747</v>
      </c>
      <c r="B876" s="171">
        <v>0</v>
      </c>
      <c r="C876" s="171"/>
      <c r="D876" s="171"/>
      <c r="E876" s="172"/>
    </row>
    <row r="877" s="151" customFormat="1" ht="15.95" hidden="1" customHeight="1" spans="1:5">
      <c r="A877" s="65" t="s">
        <v>748</v>
      </c>
      <c r="B877" s="171">
        <v>0</v>
      </c>
      <c r="C877" s="171"/>
      <c r="D877" s="171"/>
      <c r="E877" s="172"/>
    </row>
    <row r="878" s="151" customFormat="1" ht="15.95" hidden="1" customHeight="1" spans="1:5">
      <c r="A878" s="65" t="s">
        <v>749</v>
      </c>
      <c r="B878" s="171">
        <v>0</v>
      </c>
      <c r="C878" s="171"/>
      <c r="D878" s="171"/>
      <c r="E878" s="172"/>
    </row>
    <row r="879" s="151" customFormat="1" ht="15.95" customHeight="1" spans="1:5">
      <c r="A879" s="65" t="s">
        <v>750</v>
      </c>
      <c r="B879" s="171">
        <v>28</v>
      </c>
      <c r="C879" s="171">
        <v>40</v>
      </c>
      <c r="D879" s="171">
        <v>40</v>
      </c>
      <c r="E879" s="172">
        <f t="shared" ref="E879:E883" si="64">D879/B879</f>
        <v>1.42857142857143</v>
      </c>
    </row>
    <row r="880" s="151" customFormat="1" ht="15.95" customHeight="1" spans="1:5">
      <c r="A880" s="65" t="s">
        <v>751</v>
      </c>
      <c r="B880" s="171">
        <v>0</v>
      </c>
      <c r="C880" s="171">
        <v>3283</v>
      </c>
      <c r="D880" s="171">
        <v>3283</v>
      </c>
      <c r="E880" s="172"/>
    </row>
    <row r="881" s="151" customFormat="1" ht="15.95" hidden="1" customHeight="1" spans="1:5">
      <c r="A881" s="65" t="s">
        <v>752</v>
      </c>
      <c r="B881" s="171">
        <v>0</v>
      </c>
      <c r="C881" s="171"/>
      <c r="D881" s="171"/>
      <c r="E881" s="172"/>
    </row>
    <row r="882" s="151" customFormat="1" ht="15.95" customHeight="1" spans="1:5">
      <c r="A882" s="65" t="s">
        <v>753</v>
      </c>
      <c r="B882" s="171">
        <v>4510</v>
      </c>
      <c r="C882" s="171">
        <v>3140</v>
      </c>
      <c r="D882" s="171">
        <v>3140</v>
      </c>
      <c r="E882" s="172">
        <f t="shared" si="64"/>
        <v>0.696230598669623</v>
      </c>
    </row>
    <row r="883" s="151" customFormat="1" ht="15.95" customHeight="1" spans="1:5">
      <c r="A883" s="65" t="s">
        <v>754</v>
      </c>
      <c r="B883" s="171">
        <v>157</v>
      </c>
      <c r="C883" s="171">
        <v>363</v>
      </c>
      <c r="D883" s="171">
        <v>363</v>
      </c>
      <c r="E883" s="172">
        <f t="shared" si="64"/>
        <v>2.31210191082803</v>
      </c>
    </row>
    <row r="884" s="151" customFormat="1" ht="15.95" hidden="1" customHeight="1" spans="1:5">
      <c r="A884" s="65" t="s">
        <v>755</v>
      </c>
      <c r="B884" s="171">
        <v>0</v>
      </c>
      <c r="C884" s="171"/>
      <c r="D884" s="171"/>
      <c r="E884" s="172"/>
    </row>
    <row r="885" s="151" customFormat="1" ht="15.95" customHeight="1" spans="1:5">
      <c r="A885" s="65" t="s">
        <v>756</v>
      </c>
      <c r="B885" s="171">
        <v>17</v>
      </c>
      <c r="C885" s="171"/>
      <c r="D885" s="171"/>
      <c r="E885" s="172">
        <f t="shared" ref="E885:E892" si="65">D885/B885</f>
        <v>0</v>
      </c>
    </row>
    <row r="886" s="151" customFormat="1" ht="15.95" customHeight="1" spans="1:5">
      <c r="A886" s="65" t="s">
        <v>757</v>
      </c>
      <c r="B886" s="171">
        <v>136</v>
      </c>
      <c r="C886" s="171">
        <v>975</v>
      </c>
      <c r="D886" s="171">
        <v>975</v>
      </c>
      <c r="E886" s="172">
        <f t="shared" si="65"/>
        <v>7.16911764705882</v>
      </c>
    </row>
    <row r="887" s="151" customFormat="1" ht="15.95" customHeight="1" spans="1:5">
      <c r="A887" s="65" t="s">
        <v>758</v>
      </c>
      <c r="B887" s="171">
        <v>0</v>
      </c>
      <c r="C887" s="171">
        <v>6339</v>
      </c>
      <c r="D887" s="171">
        <v>6339</v>
      </c>
      <c r="E887" s="172"/>
    </row>
    <row r="888" s="151" customFormat="1" ht="15.95" customHeight="1" spans="1:5">
      <c r="A888" s="65" t="s">
        <v>759</v>
      </c>
      <c r="B888" s="171">
        <v>4477</v>
      </c>
      <c r="C888" s="171">
        <v>2484</v>
      </c>
      <c r="D888" s="171">
        <v>2484</v>
      </c>
      <c r="E888" s="172">
        <f t="shared" si="65"/>
        <v>0.5548358275631</v>
      </c>
    </row>
    <row r="889" s="151" customFormat="1" customHeight="1" spans="1:5">
      <c r="A889" s="65" t="s">
        <v>760</v>
      </c>
      <c r="B889" s="171">
        <v>227</v>
      </c>
      <c r="C889" s="171"/>
      <c r="D889" s="171"/>
      <c r="E889" s="172">
        <f t="shared" si="65"/>
        <v>0</v>
      </c>
    </row>
    <row r="890" s="151" customFormat="1" ht="15.95" customHeight="1" spans="1:5">
      <c r="A890" s="65" t="s">
        <v>761</v>
      </c>
      <c r="B890" s="178">
        <v>2662</v>
      </c>
      <c r="C890" s="178">
        <v>5717</v>
      </c>
      <c r="D890" s="178">
        <v>5717</v>
      </c>
      <c r="E890" s="172">
        <f t="shared" si="65"/>
        <v>2.14763335837716</v>
      </c>
    </row>
    <row r="891" s="151" customFormat="1" ht="15.95" customHeight="1" spans="1:5">
      <c r="A891" s="65" t="s">
        <v>762</v>
      </c>
      <c r="B891" s="171">
        <v>15755</v>
      </c>
      <c r="C891" s="171">
        <v>5057</v>
      </c>
      <c r="D891" s="171">
        <f>5057+2000</f>
        <v>7057</v>
      </c>
      <c r="E891" s="172">
        <f t="shared" si="65"/>
        <v>0.447921294827039</v>
      </c>
    </row>
    <row r="892" s="151" customFormat="1" ht="15.95" customHeight="1" spans="1:5">
      <c r="A892" s="63" t="s">
        <v>763</v>
      </c>
      <c r="B892" s="174">
        <v>573</v>
      </c>
      <c r="C892" s="174">
        <v>991</v>
      </c>
      <c r="D892" s="174">
        <f>SUM(D893:D917)</f>
        <v>976</v>
      </c>
      <c r="E892" s="165">
        <f t="shared" si="65"/>
        <v>1.70331588132635</v>
      </c>
    </row>
    <row r="893" s="151" customFormat="1" ht="15.95" hidden="1" customHeight="1" spans="1:5">
      <c r="A893" s="65" t="s">
        <v>107</v>
      </c>
      <c r="B893" s="171"/>
      <c r="C893" s="171"/>
      <c r="D893" s="171"/>
      <c r="E893" s="165"/>
    </row>
    <row r="894" s="151" customFormat="1" ht="15.95" hidden="1" customHeight="1" spans="1:5">
      <c r="A894" s="65" t="s">
        <v>108</v>
      </c>
      <c r="B894" s="171"/>
      <c r="C894" s="171"/>
      <c r="D894" s="171"/>
      <c r="E894" s="165"/>
    </row>
    <row r="895" s="151" customFormat="1" ht="15.95" hidden="1" customHeight="1" spans="1:5">
      <c r="A895" s="65" t="s">
        <v>109</v>
      </c>
      <c r="B895" s="171"/>
      <c r="C895" s="171"/>
      <c r="D895" s="171"/>
      <c r="E895" s="165"/>
    </row>
    <row r="896" s="151" customFormat="1" ht="15.95" customHeight="1" spans="1:5">
      <c r="A896" s="65" t="s">
        <v>764</v>
      </c>
      <c r="B896" s="171">
        <v>143</v>
      </c>
      <c r="C896" s="171">
        <v>168</v>
      </c>
      <c r="D896" s="171">
        <f>168-15</f>
        <v>153</v>
      </c>
      <c r="E896" s="172">
        <f>D896/B896</f>
        <v>1.06993006993007</v>
      </c>
    </row>
    <row r="897" s="151" customFormat="1" ht="15.95" hidden="1" customHeight="1" spans="1:5">
      <c r="A897" s="65" t="s">
        <v>765</v>
      </c>
      <c r="B897" s="171"/>
      <c r="C897" s="171"/>
      <c r="D897" s="171"/>
      <c r="E897" s="172"/>
    </row>
    <row r="898" s="151" customFormat="1" ht="15.95" hidden="1" customHeight="1" spans="1:5">
      <c r="A898" s="65" t="s">
        <v>766</v>
      </c>
      <c r="B898" s="171"/>
      <c r="C898" s="171"/>
      <c r="D898" s="171"/>
      <c r="E898" s="172"/>
    </row>
    <row r="899" s="151" customFormat="1" ht="15.95" hidden="1" customHeight="1" spans="1:5">
      <c r="A899" s="65" t="s">
        <v>767</v>
      </c>
      <c r="B899" s="171"/>
      <c r="C899" s="171"/>
      <c r="D899" s="171"/>
      <c r="E899" s="172"/>
    </row>
    <row r="900" s="151" customFormat="1" ht="15.95" customHeight="1" spans="1:5">
      <c r="A900" s="65" t="s">
        <v>768</v>
      </c>
      <c r="B900" s="171">
        <v>284</v>
      </c>
      <c r="C900" s="171">
        <v>186</v>
      </c>
      <c r="D900" s="171">
        <v>186</v>
      </c>
      <c r="E900" s="172">
        <f>D900/B900</f>
        <v>0.654929577464789</v>
      </c>
    </row>
    <row r="901" s="151" customFormat="1" ht="15.95" hidden="1" customHeight="1" spans="1:5">
      <c r="A901" s="65" t="s">
        <v>769</v>
      </c>
      <c r="B901" s="171">
        <v>0</v>
      </c>
      <c r="C901" s="171"/>
      <c r="D901" s="171"/>
      <c r="E901" s="172"/>
    </row>
    <row r="902" s="151" customFormat="1" ht="15.95" hidden="1" customHeight="1" spans="1:5">
      <c r="A902" s="65" t="s">
        <v>770</v>
      </c>
      <c r="B902" s="171"/>
      <c r="C902" s="171"/>
      <c r="D902" s="171"/>
      <c r="E902" s="172"/>
    </row>
    <row r="903" s="151" customFormat="1" ht="15.95" customHeight="1" spans="1:5">
      <c r="A903" s="65" t="s">
        <v>771</v>
      </c>
      <c r="B903" s="171">
        <v>49</v>
      </c>
      <c r="C903" s="171"/>
      <c r="D903" s="171"/>
      <c r="E903" s="172">
        <f>D903/B903</f>
        <v>0</v>
      </c>
    </row>
    <row r="904" s="151" customFormat="1" ht="15.95" hidden="1" customHeight="1" spans="1:5">
      <c r="A904" s="65" t="s">
        <v>772</v>
      </c>
      <c r="B904" s="171"/>
      <c r="C904" s="171"/>
      <c r="D904" s="171"/>
      <c r="E904" s="172"/>
    </row>
    <row r="905" s="151" customFormat="1" ht="15.95" hidden="1" customHeight="1" spans="1:5">
      <c r="A905" s="65" t="s">
        <v>773</v>
      </c>
      <c r="B905" s="171"/>
      <c r="C905" s="171"/>
      <c r="D905" s="171"/>
      <c r="E905" s="172"/>
    </row>
    <row r="906" s="151" customFormat="1" ht="15.95" hidden="1" customHeight="1" spans="1:5">
      <c r="A906" s="65" t="s">
        <v>774</v>
      </c>
      <c r="B906" s="171"/>
      <c r="C906" s="171"/>
      <c r="D906" s="171"/>
      <c r="E906" s="172"/>
    </row>
    <row r="907" s="151" customFormat="1" ht="15.95" hidden="1" customHeight="1" spans="1:5">
      <c r="A907" s="65" t="s">
        <v>775</v>
      </c>
      <c r="B907" s="171"/>
      <c r="C907" s="171"/>
      <c r="D907" s="171"/>
      <c r="E907" s="172"/>
    </row>
    <row r="908" s="151" customFormat="1" ht="15.95" hidden="1" customHeight="1" spans="1:5">
      <c r="A908" s="65" t="s">
        <v>776</v>
      </c>
      <c r="B908" s="171"/>
      <c r="C908" s="171"/>
      <c r="D908" s="171"/>
      <c r="E908" s="172"/>
    </row>
    <row r="909" s="151" customFormat="1" ht="15.95" hidden="1" customHeight="1" spans="1:5">
      <c r="A909" s="65" t="s">
        <v>777</v>
      </c>
      <c r="B909" s="171"/>
      <c r="C909" s="171"/>
      <c r="D909" s="171"/>
      <c r="E909" s="172"/>
    </row>
    <row r="910" s="151" customFormat="1" ht="15.95" hidden="1" customHeight="1" spans="1:5">
      <c r="A910" s="65" t="s">
        <v>778</v>
      </c>
      <c r="B910" s="171"/>
      <c r="C910" s="171"/>
      <c r="D910" s="171"/>
      <c r="E910" s="172"/>
    </row>
    <row r="911" s="151" customFormat="1" ht="15" hidden="1" customHeight="1" spans="1:5">
      <c r="A911" s="65" t="s">
        <v>779</v>
      </c>
      <c r="B911" s="171"/>
      <c r="C911" s="171"/>
      <c r="D911" s="171"/>
      <c r="E911" s="172"/>
    </row>
    <row r="912" s="151" customFormat="1" ht="15.95" customHeight="1" spans="1:5">
      <c r="A912" s="65" t="s">
        <v>780</v>
      </c>
      <c r="B912" s="171">
        <v>97</v>
      </c>
      <c r="C912" s="171">
        <v>37</v>
      </c>
      <c r="D912" s="171">
        <v>37</v>
      </c>
      <c r="E912" s="172">
        <f>D912/B912</f>
        <v>0.381443298969072</v>
      </c>
    </row>
    <row r="913" s="151" customFormat="1" ht="15.95" hidden="1" customHeight="1" spans="1:5">
      <c r="A913" s="65" t="s">
        <v>781</v>
      </c>
      <c r="B913" s="171"/>
      <c r="C913" s="171"/>
      <c r="D913" s="171"/>
      <c r="E913" s="172"/>
    </row>
    <row r="914" s="151" customFormat="1" ht="15.95" hidden="1" customHeight="1" spans="1:5">
      <c r="A914" s="65" t="s">
        <v>782</v>
      </c>
      <c r="B914" s="174"/>
      <c r="C914" s="171"/>
      <c r="D914" s="171"/>
      <c r="E914" s="172"/>
    </row>
    <row r="915" s="151" customFormat="1" ht="15.95" hidden="1" customHeight="1" spans="1:5">
      <c r="A915" s="172" t="s">
        <v>748</v>
      </c>
      <c r="B915" s="171"/>
      <c r="C915" s="171"/>
      <c r="D915" s="171"/>
      <c r="E915" s="172"/>
    </row>
    <row r="916" s="151" customFormat="1" ht="15.95" hidden="1" customHeight="1" spans="1:5">
      <c r="A916" s="65" t="s">
        <v>783</v>
      </c>
      <c r="B916" s="171"/>
      <c r="C916" s="171"/>
      <c r="D916" s="171"/>
      <c r="E916" s="172"/>
    </row>
    <row r="917" s="151" customFormat="1" ht="15.95" customHeight="1" spans="1:5">
      <c r="A917" s="65" t="s">
        <v>784</v>
      </c>
      <c r="B917" s="171"/>
      <c r="C917" s="171">
        <v>600</v>
      </c>
      <c r="D917" s="171">
        <v>600</v>
      </c>
      <c r="E917" s="172"/>
    </row>
    <row r="918" s="151" customFormat="1" ht="15.95" customHeight="1" spans="1:5">
      <c r="A918" s="63" t="s">
        <v>785</v>
      </c>
      <c r="B918" s="167">
        <f>SUM(B919:B945)</f>
        <v>19471</v>
      </c>
      <c r="C918" s="167">
        <f>SUM(C919:C945)</f>
        <v>18778</v>
      </c>
      <c r="D918" s="167">
        <f>SUM(D919:D945)</f>
        <v>18715</v>
      </c>
      <c r="E918" s="165">
        <f t="shared" ref="E918:E924" si="66">D918/B918</f>
        <v>0.961173026552309</v>
      </c>
    </row>
    <row r="919" s="151" customFormat="1" ht="15.95" customHeight="1" spans="1:5">
      <c r="A919" s="65" t="s">
        <v>107</v>
      </c>
      <c r="B919" s="171">
        <v>1015</v>
      </c>
      <c r="C919" s="171">
        <v>978</v>
      </c>
      <c r="D919" s="171">
        <f>978-63</f>
        <v>915</v>
      </c>
      <c r="E919" s="172">
        <f t="shared" si="66"/>
        <v>0.901477832512315</v>
      </c>
    </row>
    <row r="920" s="151" customFormat="1" ht="15.95" hidden="1" customHeight="1" spans="1:5">
      <c r="A920" s="65" t="s">
        <v>108</v>
      </c>
      <c r="B920" s="171">
        <v>0</v>
      </c>
      <c r="C920" s="171"/>
      <c r="D920" s="171"/>
      <c r="E920" s="172"/>
    </row>
    <row r="921" s="151" customFormat="1" ht="15.95" customHeight="1" spans="1:5">
      <c r="A921" s="65" t="s">
        <v>109</v>
      </c>
      <c r="B921" s="171">
        <v>0</v>
      </c>
      <c r="C921" s="171">
        <v>98</v>
      </c>
      <c r="D921" s="171">
        <v>98</v>
      </c>
      <c r="E921" s="172"/>
    </row>
    <row r="922" s="151" customFormat="1" ht="15.95" customHeight="1" spans="1:5">
      <c r="A922" s="65" t="s">
        <v>786</v>
      </c>
      <c r="B922" s="171">
        <v>7983</v>
      </c>
      <c r="C922" s="171"/>
      <c r="D922" s="171"/>
      <c r="E922" s="172">
        <f t="shared" si="66"/>
        <v>0</v>
      </c>
    </row>
    <row r="923" s="151" customFormat="1" ht="15.95" customHeight="1" spans="1:5">
      <c r="A923" s="65" t="s">
        <v>787</v>
      </c>
      <c r="B923" s="171">
        <v>735</v>
      </c>
      <c r="C923" s="171">
        <v>4160</v>
      </c>
      <c r="D923" s="171">
        <v>4160</v>
      </c>
      <c r="E923" s="172">
        <f t="shared" si="66"/>
        <v>5.65986394557823</v>
      </c>
    </row>
    <row r="924" s="151" customFormat="1" ht="15.95" customHeight="1" spans="1:5">
      <c r="A924" s="65" t="s">
        <v>788</v>
      </c>
      <c r="B924" s="171">
        <v>255</v>
      </c>
      <c r="C924" s="171">
        <v>955</v>
      </c>
      <c r="D924" s="171">
        <v>955</v>
      </c>
      <c r="E924" s="172">
        <f t="shared" si="66"/>
        <v>3.74509803921569</v>
      </c>
    </row>
    <row r="925" s="151" customFormat="1" ht="15.95" hidden="1" customHeight="1" spans="1:5">
      <c r="A925" s="65" t="s">
        <v>789</v>
      </c>
      <c r="B925" s="171">
        <v>0</v>
      </c>
      <c r="C925" s="171"/>
      <c r="D925" s="171"/>
      <c r="E925" s="172"/>
    </row>
    <row r="926" s="151" customFormat="1" ht="15.95" hidden="1" customHeight="1" spans="1:5">
      <c r="A926" s="65" t="s">
        <v>790</v>
      </c>
      <c r="B926" s="171">
        <v>0</v>
      </c>
      <c r="C926" s="171"/>
      <c r="D926" s="171"/>
      <c r="E926" s="172"/>
    </row>
    <row r="927" s="151" customFormat="1" ht="15.95" hidden="1" customHeight="1" spans="1:5">
      <c r="A927" s="65" t="s">
        <v>791</v>
      </c>
      <c r="B927" s="171">
        <v>0</v>
      </c>
      <c r="C927" s="171"/>
      <c r="D927" s="171"/>
      <c r="E927" s="172"/>
    </row>
    <row r="928" s="151" customFormat="1" ht="15.95" customHeight="1" spans="1:5">
      <c r="A928" s="65" t="s">
        <v>792</v>
      </c>
      <c r="B928" s="171">
        <v>72</v>
      </c>
      <c r="C928" s="171"/>
      <c r="D928" s="171"/>
      <c r="E928" s="172">
        <f>D928/B928</f>
        <v>0</v>
      </c>
    </row>
    <row r="929" s="151" customFormat="1" ht="15.95" hidden="1" customHeight="1" spans="1:5">
      <c r="A929" s="65" t="s">
        <v>793</v>
      </c>
      <c r="B929" s="167">
        <v>0</v>
      </c>
      <c r="C929" s="167"/>
      <c r="D929" s="167"/>
      <c r="E929" s="172"/>
    </row>
    <row r="930" s="151" customFormat="1" ht="15.95" hidden="1" customHeight="1" spans="1:5">
      <c r="A930" s="65" t="s">
        <v>794</v>
      </c>
      <c r="B930" s="171">
        <v>0</v>
      </c>
      <c r="C930" s="171"/>
      <c r="D930" s="171"/>
      <c r="E930" s="172"/>
    </row>
    <row r="931" s="151" customFormat="1" ht="15.95" hidden="1" customHeight="1" spans="1:5">
      <c r="A931" s="65" t="s">
        <v>795</v>
      </c>
      <c r="B931" s="171">
        <v>0</v>
      </c>
      <c r="C931" s="171"/>
      <c r="D931" s="171"/>
      <c r="E931" s="172"/>
    </row>
    <row r="932" s="151" customFormat="1" ht="15.95" customHeight="1" spans="1:5">
      <c r="A932" s="65" t="s">
        <v>796</v>
      </c>
      <c r="B932" s="171">
        <v>19</v>
      </c>
      <c r="C932" s="171">
        <v>216</v>
      </c>
      <c r="D932" s="171">
        <v>216</v>
      </c>
      <c r="E932" s="172">
        <f t="shared" ref="E932:E938" si="67">D932/B932</f>
        <v>11.3684210526316</v>
      </c>
    </row>
    <row r="933" s="151" customFormat="1" ht="15.95" hidden="1" customHeight="1" spans="1:5">
      <c r="A933" s="65" t="s">
        <v>797</v>
      </c>
      <c r="B933" s="171">
        <v>0</v>
      </c>
      <c r="C933" s="171"/>
      <c r="D933" s="171"/>
      <c r="E933" s="172"/>
    </row>
    <row r="934" s="151" customFormat="1" ht="15.95" customHeight="1" spans="1:5">
      <c r="A934" s="65" t="s">
        <v>798</v>
      </c>
      <c r="B934" s="171">
        <v>3327</v>
      </c>
      <c r="C934" s="171">
        <v>1059</v>
      </c>
      <c r="D934" s="171">
        <v>1059</v>
      </c>
      <c r="E934" s="172">
        <f t="shared" si="67"/>
        <v>0.318304779080252</v>
      </c>
    </row>
    <row r="935" s="151" customFormat="1" ht="15.95" hidden="1" customHeight="1" spans="1:5">
      <c r="A935" s="65" t="s">
        <v>799</v>
      </c>
      <c r="B935" s="171">
        <v>0</v>
      </c>
      <c r="C935" s="171"/>
      <c r="D935" s="171"/>
      <c r="E935" s="172"/>
    </row>
    <row r="936" s="151" customFormat="1" ht="15.95" hidden="1" customHeight="1" spans="1:5">
      <c r="A936" s="65" t="s">
        <v>800</v>
      </c>
      <c r="B936" s="178">
        <v>0</v>
      </c>
      <c r="C936" s="178"/>
      <c r="D936" s="178"/>
      <c r="E936" s="172"/>
    </row>
    <row r="937" s="151" customFormat="1" ht="15.95" customHeight="1" spans="1:5">
      <c r="A937" s="65" t="s">
        <v>801</v>
      </c>
      <c r="B937" s="171">
        <v>3969</v>
      </c>
      <c r="C937" s="171">
        <v>9892</v>
      </c>
      <c r="D937" s="171">
        <v>9892</v>
      </c>
      <c r="E937" s="172">
        <f t="shared" si="67"/>
        <v>2.4923154446964</v>
      </c>
    </row>
    <row r="938" s="151" customFormat="1" customHeight="1" spans="1:5">
      <c r="A938" s="65" t="s">
        <v>802</v>
      </c>
      <c r="B938" s="171">
        <v>335</v>
      </c>
      <c r="C938" s="171">
        <v>1380</v>
      </c>
      <c r="D938" s="171">
        <v>1380</v>
      </c>
      <c r="E938" s="172">
        <f t="shared" si="67"/>
        <v>4.11940298507463</v>
      </c>
    </row>
    <row r="939" s="151" customFormat="1" ht="15.95" hidden="1" customHeight="1" spans="1:5">
      <c r="A939" s="65" t="s">
        <v>803</v>
      </c>
      <c r="B939" s="171">
        <v>0</v>
      </c>
      <c r="C939" s="171"/>
      <c r="D939" s="171"/>
      <c r="E939" s="172"/>
    </row>
    <row r="940" s="151" customFormat="1" ht="15.95" hidden="1" customHeight="1" spans="1:5">
      <c r="A940" s="172" t="s">
        <v>776</v>
      </c>
      <c r="B940" s="171">
        <v>0</v>
      </c>
      <c r="C940" s="171"/>
      <c r="D940" s="171"/>
      <c r="E940" s="172"/>
    </row>
    <row r="941" s="151" customFormat="1" ht="15.95" hidden="1" customHeight="1" spans="1:5">
      <c r="A941" s="65" t="s">
        <v>804</v>
      </c>
      <c r="B941" s="171">
        <v>0</v>
      </c>
      <c r="C941" s="171"/>
      <c r="D941" s="171"/>
      <c r="E941" s="172"/>
    </row>
    <row r="942" s="151" customFormat="1" ht="15.95" customHeight="1" spans="1:5">
      <c r="A942" s="65" t="s">
        <v>805</v>
      </c>
      <c r="B942" s="178">
        <v>1729</v>
      </c>
      <c r="C942" s="178"/>
      <c r="D942" s="178"/>
      <c r="E942" s="172">
        <f t="shared" ref="E942:E947" si="68">D942/B942</f>
        <v>0</v>
      </c>
    </row>
    <row r="943" s="151" customFormat="1" ht="15.95" hidden="1" customHeight="1" spans="1:5">
      <c r="A943" s="65" t="s">
        <v>806</v>
      </c>
      <c r="B943" s="171">
        <v>0</v>
      </c>
      <c r="C943" s="171"/>
      <c r="D943" s="171"/>
      <c r="E943" s="172"/>
    </row>
    <row r="944" s="151" customFormat="1" ht="15.95" hidden="1" customHeight="1" spans="1:5">
      <c r="A944" s="65" t="s">
        <v>807</v>
      </c>
      <c r="B944" s="171">
        <v>0</v>
      </c>
      <c r="C944" s="171"/>
      <c r="D944" s="171"/>
      <c r="E944" s="172"/>
    </row>
    <row r="945" s="151" customFormat="1" ht="15.95" customHeight="1" spans="1:5">
      <c r="A945" s="65" t="s">
        <v>808</v>
      </c>
      <c r="B945" s="178">
        <v>32</v>
      </c>
      <c r="C945" s="178">
        <v>40</v>
      </c>
      <c r="D945" s="178">
        <v>40</v>
      </c>
      <c r="E945" s="172">
        <f t="shared" si="68"/>
        <v>1.25</v>
      </c>
    </row>
    <row r="946" s="151" customFormat="1" ht="17.1" customHeight="1" spans="1:5">
      <c r="A946" s="63" t="s">
        <v>809</v>
      </c>
      <c r="B946" s="174">
        <v>25404</v>
      </c>
      <c r="C946" s="174">
        <v>26465</v>
      </c>
      <c r="D946" s="174">
        <f>26465+10000</f>
        <v>36465</v>
      </c>
      <c r="E946" s="165">
        <f t="shared" si="68"/>
        <v>1.43540387340576</v>
      </c>
    </row>
    <row r="947" s="151" customFormat="1" ht="15.95" customHeight="1" spans="1:5">
      <c r="A947" s="65" t="s">
        <v>107</v>
      </c>
      <c r="B947" s="171">
        <v>205</v>
      </c>
      <c r="C947" s="171">
        <v>232</v>
      </c>
      <c r="D947" s="171">
        <v>232</v>
      </c>
      <c r="E947" s="172">
        <f t="shared" si="68"/>
        <v>1.13170731707317</v>
      </c>
    </row>
    <row r="948" s="151" customFormat="1" ht="15.95" hidden="1" customHeight="1" spans="1:5">
      <c r="A948" s="65" t="s">
        <v>108</v>
      </c>
      <c r="B948" s="178">
        <v>0</v>
      </c>
      <c r="C948" s="178"/>
      <c r="D948" s="178"/>
      <c r="E948" s="172"/>
    </row>
    <row r="949" s="151" customFormat="1" ht="15.95" hidden="1" customHeight="1" spans="1:5">
      <c r="A949" s="65" t="s">
        <v>109</v>
      </c>
      <c r="B949" s="178">
        <v>0</v>
      </c>
      <c r="C949" s="178"/>
      <c r="D949" s="178"/>
      <c r="E949" s="172"/>
    </row>
    <row r="950" s="151" customFormat="1" ht="15.95" customHeight="1" spans="1:5">
      <c r="A950" s="65" t="s">
        <v>810</v>
      </c>
      <c r="B950" s="171">
        <v>11523</v>
      </c>
      <c r="C950" s="171">
        <v>15207</v>
      </c>
      <c r="D950" s="171">
        <f>15207+10000</f>
        <v>25207</v>
      </c>
      <c r="E950" s="172">
        <f t="shared" ref="E950:E952" si="69">D950/B950</f>
        <v>2.18753796754317</v>
      </c>
    </row>
    <row r="951" s="151" customFormat="1" ht="15.95" customHeight="1" spans="1:5">
      <c r="A951" s="65" t="s">
        <v>811</v>
      </c>
      <c r="B951" s="171">
        <v>11446</v>
      </c>
      <c r="C951" s="171">
        <v>8331</v>
      </c>
      <c r="D951" s="171">
        <v>8331</v>
      </c>
      <c r="E951" s="172">
        <f t="shared" si="69"/>
        <v>0.727852524899528</v>
      </c>
    </row>
    <row r="952" s="151" customFormat="1" ht="15.95" customHeight="1" spans="1:5">
      <c r="A952" s="65" t="s">
        <v>812</v>
      </c>
      <c r="B952" s="171">
        <v>535</v>
      </c>
      <c r="C952" s="171">
        <v>705</v>
      </c>
      <c r="D952" s="171">
        <v>705</v>
      </c>
      <c r="E952" s="172">
        <f t="shared" si="69"/>
        <v>1.31775700934579</v>
      </c>
    </row>
    <row r="953" s="151" customFormat="1" ht="15.95" hidden="1" customHeight="1" spans="1:5">
      <c r="A953" s="65" t="s">
        <v>813</v>
      </c>
      <c r="B953" s="174">
        <v>0</v>
      </c>
      <c r="C953" s="174"/>
      <c r="D953" s="174"/>
      <c r="E953" s="172"/>
    </row>
    <row r="954" s="151" customFormat="1" ht="15.95" hidden="1" customHeight="1" spans="1:5">
      <c r="A954" s="65" t="s">
        <v>814</v>
      </c>
      <c r="B954" s="171">
        <v>0</v>
      </c>
      <c r="C954" s="171"/>
      <c r="D954" s="171"/>
      <c r="E954" s="172"/>
    </row>
    <row r="955" s="151" customFormat="1" ht="15.95" hidden="1" customHeight="1" spans="1:5">
      <c r="A955" s="65" t="s">
        <v>815</v>
      </c>
      <c r="B955" s="171">
        <v>0</v>
      </c>
      <c r="C955" s="171"/>
      <c r="D955" s="171"/>
      <c r="E955" s="172"/>
    </row>
    <row r="956" s="151" customFormat="1" ht="19" customHeight="1" spans="1:5">
      <c r="A956" s="65" t="s">
        <v>816</v>
      </c>
      <c r="B956" s="171">
        <v>1695</v>
      </c>
      <c r="C956" s="171">
        <v>1990</v>
      </c>
      <c r="D956" s="171">
        <v>1990</v>
      </c>
      <c r="E956" s="172">
        <f t="shared" ref="E956:E958" si="70">D956/B956</f>
        <v>1.1740412979351</v>
      </c>
    </row>
    <row r="957" s="151" customFormat="1" ht="15.95" customHeight="1" spans="1:5">
      <c r="A957" s="63" t="s">
        <v>817</v>
      </c>
      <c r="B957" s="174">
        <v>8901</v>
      </c>
      <c r="C957" s="174">
        <v>11880</v>
      </c>
      <c r="D957" s="174">
        <f>SUM(D958:D963)</f>
        <v>11380</v>
      </c>
      <c r="E957" s="165">
        <f t="shared" si="70"/>
        <v>1.2785080328053</v>
      </c>
    </row>
    <row r="958" s="151" customFormat="1" ht="15.95" customHeight="1" spans="1:5">
      <c r="A958" s="65" t="s">
        <v>818</v>
      </c>
      <c r="B958" s="171">
        <v>299</v>
      </c>
      <c r="C958" s="171">
        <v>2730</v>
      </c>
      <c r="D958" s="171">
        <v>2730</v>
      </c>
      <c r="E958" s="172">
        <f t="shared" si="70"/>
        <v>9.1304347826087</v>
      </c>
    </row>
    <row r="959" s="151" customFormat="1" ht="18.95" hidden="1" customHeight="1" spans="1:5">
      <c r="A959" s="65" t="s">
        <v>819</v>
      </c>
      <c r="B959" s="171">
        <v>0</v>
      </c>
      <c r="C959" s="171"/>
      <c r="D959" s="171"/>
      <c r="E959" s="172"/>
    </row>
    <row r="960" s="151" customFormat="1" ht="18.95" customHeight="1" spans="1:5">
      <c r="A960" s="65" t="s">
        <v>820</v>
      </c>
      <c r="B960" s="171">
        <v>7162</v>
      </c>
      <c r="C960" s="171">
        <v>9150</v>
      </c>
      <c r="D960" s="171">
        <f>9150-500</f>
        <v>8650</v>
      </c>
      <c r="E960" s="172">
        <f t="shared" ref="E960:E964" si="71">D960/B960</f>
        <v>1.20776319463837</v>
      </c>
    </row>
    <row r="961" s="151" customFormat="1" ht="15.95" customHeight="1" spans="1:5">
      <c r="A961" s="65" t="s">
        <v>821</v>
      </c>
      <c r="B961" s="171">
        <v>1440</v>
      </c>
      <c r="C961" s="171"/>
      <c r="D961" s="171"/>
      <c r="E961" s="172">
        <f t="shared" si="71"/>
        <v>0</v>
      </c>
    </row>
    <row r="962" s="151" customFormat="1" ht="15.95" hidden="1" customHeight="1" spans="1:5">
      <c r="A962" s="65" t="s">
        <v>822</v>
      </c>
      <c r="B962" s="171">
        <v>0</v>
      </c>
      <c r="C962" s="171"/>
      <c r="D962" s="171"/>
      <c r="E962" s="165"/>
    </row>
    <row r="963" s="151" customFormat="1" ht="15.95" hidden="1" customHeight="1" spans="1:5">
      <c r="A963" s="65" t="s">
        <v>823</v>
      </c>
      <c r="B963" s="171">
        <v>0</v>
      </c>
      <c r="C963" s="171"/>
      <c r="D963" s="171"/>
      <c r="E963" s="165"/>
    </row>
    <row r="964" s="151" customFormat="1" ht="15.95" customHeight="1" spans="1:5">
      <c r="A964" s="63" t="s">
        <v>824</v>
      </c>
      <c r="B964" s="174">
        <v>5442</v>
      </c>
      <c r="C964" s="174">
        <v>12889</v>
      </c>
      <c r="D964" s="174">
        <v>12889</v>
      </c>
      <c r="E964" s="165">
        <f t="shared" si="71"/>
        <v>2.36843072399853</v>
      </c>
    </row>
    <row r="965" s="151" customFormat="1" ht="15.95" hidden="1" customHeight="1" spans="1:5">
      <c r="A965" s="65" t="s">
        <v>825</v>
      </c>
      <c r="B965" s="171"/>
      <c r="C965" s="171"/>
      <c r="D965" s="171"/>
      <c r="E965" s="165"/>
    </row>
    <row r="966" s="151" customFormat="1" ht="15.95" hidden="1" customHeight="1" spans="1:5">
      <c r="A966" s="65" t="s">
        <v>826</v>
      </c>
      <c r="B966" s="174"/>
      <c r="C966" s="174"/>
      <c r="D966" s="174"/>
      <c r="E966" s="165"/>
    </row>
    <row r="967" s="151" customFormat="1" ht="15.95" customHeight="1" spans="1:5">
      <c r="A967" s="65" t="s">
        <v>827</v>
      </c>
      <c r="B967" s="171">
        <v>3601</v>
      </c>
      <c r="C967" s="171">
        <v>6694</v>
      </c>
      <c r="D967" s="171">
        <v>6694</v>
      </c>
      <c r="E967" s="172">
        <f t="shared" ref="E967:E970" si="72">D967/B967</f>
        <v>1.85892807553457</v>
      </c>
    </row>
    <row r="968" s="151" customFormat="1" ht="15.95" customHeight="1" spans="1:5">
      <c r="A968" s="65" t="s">
        <v>828</v>
      </c>
      <c r="B968" s="171">
        <v>47</v>
      </c>
      <c r="C968" s="171">
        <v>366</v>
      </c>
      <c r="D968" s="171">
        <v>366</v>
      </c>
      <c r="E968" s="172">
        <f t="shared" si="72"/>
        <v>7.78723404255319</v>
      </c>
    </row>
    <row r="969" s="151" customFormat="1" ht="15.95" hidden="1" customHeight="1" spans="1:5">
      <c r="A969" s="65" t="s">
        <v>829</v>
      </c>
      <c r="B969" s="171"/>
      <c r="C969" s="171"/>
      <c r="D969" s="171"/>
      <c r="E969" s="172"/>
    </row>
    <row r="970" s="151" customFormat="1" ht="15.95" customHeight="1" spans="1:5">
      <c r="A970" s="65" t="s">
        <v>830</v>
      </c>
      <c r="B970" s="171">
        <v>1794</v>
      </c>
      <c r="C970" s="171">
        <v>5829</v>
      </c>
      <c r="D970" s="171">
        <v>5829</v>
      </c>
      <c r="E970" s="172">
        <f t="shared" si="72"/>
        <v>3.24916387959866</v>
      </c>
    </row>
    <row r="971" s="151" customFormat="1" ht="15.95" hidden="1" customHeight="1" spans="1:5">
      <c r="A971" s="63" t="s">
        <v>831</v>
      </c>
      <c r="B971" s="178"/>
      <c r="C971" s="178"/>
      <c r="D971" s="178"/>
      <c r="E971" s="165"/>
    </row>
    <row r="972" s="151" customFormat="1" ht="15.95" hidden="1" customHeight="1" spans="1:5">
      <c r="A972" s="65" t="s">
        <v>832</v>
      </c>
      <c r="B972" s="174"/>
      <c r="C972" s="174"/>
      <c r="D972" s="174"/>
      <c r="E972" s="165"/>
    </row>
    <row r="973" s="151" customFormat="1" ht="15.95" hidden="1" customHeight="1" spans="1:5">
      <c r="A973" s="65" t="s">
        <v>833</v>
      </c>
      <c r="B973" s="174"/>
      <c r="C973" s="174"/>
      <c r="D973" s="174"/>
      <c r="E973" s="165"/>
    </row>
    <row r="974" s="151" customFormat="1" ht="15.95" customHeight="1" spans="1:5">
      <c r="A974" s="63" t="s">
        <v>834</v>
      </c>
      <c r="B974" s="174">
        <v>7306</v>
      </c>
      <c r="C974" s="174">
        <v>4103</v>
      </c>
      <c r="D974" s="174">
        <v>4103</v>
      </c>
      <c r="E974" s="165">
        <f t="shared" ref="E974:E979" si="73">D974/B974</f>
        <v>0.561593211059403</v>
      </c>
    </row>
    <row r="975" s="151" customFormat="1" ht="18.95" hidden="1" customHeight="1" spans="1:5">
      <c r="A975" s="65" t="s">
        <v>835</v>
      </c>
      <c r="B975" s="174">
        <v>0</v>
      </c>
      <c r="C975" s="174"/>
      <c r="D975" s="174"/>
      <c r="E975" s="165"/>
    </row>
    <row r="976" s="151" customFormat="1" ht="15.95" customHeight="1" spans="1:5">
      <c r="A976" s="65" t="s">
        <v>836</v>
      </c>
      <c r="B976" s="171">
        <v>7306</v>
      </c>
      <c r="C976" s="171">
        <v>4103</v>
      </c>
      <c r="D976" s="171">
        <v>4103</v>
      </c>
      <c r="E976" s="172">
        <f t="shared" si="73"/>
        <v>0.561593211059403</v>
      </c>
    </row>
    <row r="977" s="151" customFormat="1" ht="15.95" customHeight="1" spans="1:5">
      <c r="A977" s="179" t="s">
        <v>837</v>
      </c>
      <c r="B977" s="174">
        <v>8051</v>
      </c>
      <c r="C977" s="174">
        <f>C978+C1027</f>
        <v>5237</v>
      </c>
      <c r="D977" s="174">
        <f>D978+D1027</f>
        <v>6727</v>
      </c>
      <c r="E977" s="165">
        <f t="shared" si="73"/>
        <v>0.835548379083344</v>
      </c>
    </row>
    <row r="978" s="151" customFormat="1" ht="15.95" customHeight="1" spans="1:5">
      <c r="A978" s="63" t="s">
        <v>838</v>
      </c>
      <c r="B978" s="174">
        <v>7672</v>
      </c>
      <c r="C978" s="174">
        <v>4260</v>
      </c>
      <c r="D978" s="174">
        <f>SUM(D979:D999)</f>
        <v>5750</v>
      </c>
      <c r="E978" s="165">
        <f t="shared" si="73"/>
        <v>0.749478623566215</v>
      </c>
    </row>
    <row r="979" s="151" customFormat="1" ht="15.95" customHeight="1" spans="1:5">
      <c r="A979" s="65" t="s">
        <v>107</v>
      </c>
      <c r="B979" s="171">
        <v>181</v>
      </c>
      <c r="C979" s="171">
        <v>207</v>
      </c>
      <c r="D979" s="171">
        <f>207-10</f>
        <v>197</v>
      </c>
      <c r="E979" s="172">
        <f t="shared" si="73"/>
        <v>1.08839779005525</v>
      </c>
    </row>
    <row r="980" s="151" customFormat="1" ht="15.95" hidden="1" customHeight="1" spans="1:5">
      <c r="A980" s="65" t="s">
        <v>108</v>
      </c>
      <c r="B980" s="171"/>
      <c r="C980" s="171"/>
      <c r="D980" s="171"/>
      <c r="E980" s="172"/>
    </row>
    <row r="981" s="151" customFormat="1" ht="15.95" customHeight="1" spans="1:5">
      <c r="A981" s="65" t="s">
        <v>109</v>
      </c>
      <c r="B981" s="171"/>
      <c r="C981" s="171">
        <v>300</v>
      </c>
      <c r="D981" s="171">
        <v>300</v>
      </c>
      <c r="E981" s="172"/>
    </row>
    <row r="982" s="151" customFormat="1" ht="15.95" customHeight="1" spans="1:5">
      <c r="A982" s="65" t="s">
        <v>839</v>
      </c>
      <c r="B982" s="171">
        <v>660</v>
      </c>
      <c r="C982" s="171">
        <v>940</v>
      </c>
      <c r="D982" s="171">
        <f>940+1500</f>
        <v>2440</v>
      </c>
      <c r="E982" s="172">
        <f t="shared" ref="E982:E986" si="74">D982/B982</f>
        <v>3.6969696969697</v>
      </c>
    </row>
    <row r="983" s="151" customFormat="1" ht="15.95" customHeight="1" spans="1:5">
      <c r="A983" s="65" t="s">
        <v>840</v>
      </c>
      <c r="B983" s="171">
        <v>678</v>
      </c>
      <c r="C983" s="171">
        <v>813</v>
      </c>
      <c r="D983" s="171">
        <v>813</v>
      </c>
      <c r="E983" s="172">
        <f t="shared" si="74"/>
        <v>1.19911504424779</v>
      </c>
    </row>
    <row r="984" s="151" customFormat="1" ht="15.95" hidden="1" customHeight="1" spans="1:5">
      <c r="A984" s="65" t="s">
        <v>841</v>
      </c>
      <c r="B984" s="171"/>
      <c r="C984" s="171"/>
      <c r="D984" s="171"/>
      <c r="E984" s="172"/>
    </row>
    <row r="985" s="151" customFormat="1" ht="15.95" hidden="1" customHeight="1" spans="1:5">
      <c r="A985" s="65" t="s">
        <v>842</v>
      </c>
      <c r="B985" s="171"/>
      <c r="C985" s="171"/>
      <c r="D985" s="171"/>
      <c r="E985" s="172"/>
    </row>
    <row r="986" s="151" customFormat="1" ht="15.95" customHeight="1" spans="1:5">
      <c r="A986" s="65" t="s">
        <v>843</v>
      </c>
      <c r="B986" s="178">
        <v>105</v>
      </c>
      <c r="C986" s="178"/>
      <c r="D986" s="178"/>
      <c r="E986" s="172">
        <f t="shared" si="74"/>
        <v>0</v>
      </c>
    </row>
    <row r="987" s="151" customFormat="1" ht="15.95" hidden="1" customHeight="1" spans="1:5">
      <c r="A987" s="65" t="s">
        <v>844</v>
      </c>
      <c r="B987" s="171"/>
      <c r="C987" s="171"/>
      <c r="D987" s="171"/>
      <c r="E987" s="172"/>
    </row>
    <row r="988" s="151" customFormat="1" ht="15.95" customHeight="1" spans="1:5">
      <c r="A988" s="65" t="s">
        <v>845</v>
      </c>
      <c r="B988" s="171">
        <v>15</v>
      </c>
      <c r="C988" s="171"/>
      <c r="D988" s="171"/>
      <c r="E988" s="172">
        <f>D988/B988</f>
        <v>0</v>
      </c>
    </row>
    <row r="989" s="151" customFormat="1" ht="15.95" customHeight="1" spans="1:5">
      <c r="A989" s="65" t="s">
        <v>846</v>
      </c>
      <c r="B989" s="171">
        <v>1000</v>
      </c>
      <c r="C989" s="171">
        <v>2000</v>
      </c>
      <c r="D989" s="171">
        <v>2000</v>
      </c>
      <c r="E989" s="172">
        <f>D989/B989</f>
        <v>2</v>
      </c>
    </row>
    <row r="990" s="151" customFormat="1" ht="15.95" hidden="1" customHeight="1" spans="1:5">
      <c r="A990" s="65" t="s">
        <v>847</v>
      </c>
      <c r="B990" s="171"/>
      <c r="C990" s="171"/>
      <c r="D990" s="171"/>
      <c r="E990" s="172"/>
    </row>
    <row r="991" s="151" customFormat="1" ht="15.95" hidden="1" customHeight="1" spans="1:5">
      <c r="A991" s="65" t="s">
        <v>848</v>
      </c>
      <c r="B991" s="171"/>
      <c r="C991" s="171"/>
      <c r="D991" s="171"/>
      <c r="E991" s="172"/>
    </row>
    <row r="992" s="151" customFormat="1" ht="15.95" hidden="1" customHeight="1" spans="1:5">
      <c r="A992" s="65" t="s">
        <v>849</v>
      </c>
      <c r="B992" s="171"/>
      <c r="C992" s="171"/>
      <c r="D992" s="171"/>
      <c r="E992" s="172"/>
    </row>
    <row r="993" s="151" customFormat="1" ht="15.95" hidden="1" customHeight="1" spans="1:5">
      <c r="A993" s="65" t="s">
        <v>850</v>
      </c>
      <c r="B993" s="171"/>
      <c r="C993" s="171"/>
      <c r="D993" s="171"/>
      <c r="E993" s="172"/>
    </row>
    <row r="994" s="151" customFormat="1" ht="15.95" hidden="1" customHeight="1" spans="1:5">
      <c r="A994" s="65" t="s">
        <v>851</v>
      </c>
      <c r="B994" s="171"/>
      <c r="C994" s="171"/>
      <c r="D994" s="171"/>
      <c r="E994" s="172"/>
    </row>
    <row r="995" s="151" customFormat="1" ht="15.95" hidden="1" customHeight="1" spans="1:5">
      <c r="A995" s="65" t="s">
        <v>852</v>
      </c>
      <c r="B995" s="171"/>
      <c r="C995" s="171"/>
      <c r="D995" s="171"/>
      <c r="E995" s="172"/>
    </row>
    <row r="996" s="151" customFormat="1" ht="15.95" hidden="1" customHeight="1" spans="1:5">
      <c r="A996" s="65" t="s">
        <v>853</v>
      </c>
      <c r="B996" s="178"/>
      <c r="C996" s="178"/>
      <c r="D996" s="178"/>
      <c r="E996" s="172"/>
    </row>
    <row r="997" s="151" customFormat="1" ht="15.95" hidden="1" customHeight="1" spans="1:5">
      <c r="A997" s="65" t="s">
        <v>854</v>
      </c>
      <c r="B997" s="171"/>
      <c r="C997" s="171"/>
      <c r="D997" s="171"/>
      <c r="E997" s="172"/>
    </row>
    <row r="998" s="151" customFormat="1" ht="20.1" hidden="1" customHeight="1" spans="1:5">
      <c r="A998" s="65" t="s">
        <v>855</v>
      </c>
      <c r="B998" s="171"/>
      <c r="C998" s="171"/>
      <c r="D998" s="171"/>
      <c r="E998" s="172"/>
    </row>
    <row r="999" s="151" customFormat="1" ht="15.95" customHeight="1" spans="1:5">
      <c r="A999" s="65" t="s">
        <v>856</v>
      </c>
      <c r="B999" s="171">
        <v>5033</v>
      </c>
      <c r="C999" s="171"/>
      <c r="D999" s="171"/>
      <c r="E999" s="172">
        <f>D999/B999</f>
        <v>0</v>
      </c>
    </row>
    <row r="1000" s="151" customFormat="1" ht="15.95" hidden="1" customHeight="1" spans="1:5">
      <c r="A1000" s="63" t="s">
        <v>857</v>
      </c>
      <c r="B1000" s="174">
        <v>0</v>
      </c>
      <c r="C1000" s="174">
        <v>0</v>
      </c>
      <c r="D1000" s="174">
        <v>0</v>
      </c>
      <c r="E1000" s="165"/>
    </row>
    <row r="1001" s="151" customFormat="1" ht="15.95" hidden="1" customHeight="1" spans="1:5">
      <c r="A1001" s="65" t="s">
        <v>107</v>
      </c>
      <c r="B1001" s="171"/>
      <c r="C1001" s="171"/>
      <c r="D1001" s="171"/>
      <c r="E1001" s="165"/>
    </row>
    <row r="1002" s="151" customFormat="1" ht="15.95" hidden="1" customHeight="1" spans="1:5">
      <c r="A1002" s="65" t="s">
        <v>108</v>
      </c>
      <c r="B1002" s="171"/>
      <c r="C1002" s="171"/>
      <c r="D1002" s="171"/>
      <c r="E1002" s="165"/>
    </row>
    <row r="1003" s="151" customFormat="1" ht="15.95" hidden="1" customHeight="1" spans="1:5">
      <c r="A1003" s="65" t="s">
        <v>109</v>
      </c>
      <c r="B1003" s="178"/>
      <c r="C1003" s="178"/>
      <c r="D1003" s="178"/>
      <c r="E1003" s="165"/>
    </row>
    <row r="1004" s="151" customFormat="1" ht="15.95" hidden="1" customHeight="1" spans="1:5">
      <c r="A1004" s="65" t="s">
        <v>858</v>
      </c>
      <c r="B1004" s="171"/>
      <c r="C1004" s="171"/>
      <c r="D1004" s="171"/>
      <c r="E1004" s="165"/>
    </row>
    <row r="1005" s="151" customFormat="1" ht="15.95" hidden="1" customHeight="1" spans="1:5">
      <c r="A1005" s="65" t="s">
        <v>859</v>
      </c>
      <c r="B1005" s="171"/>
      <c r="C1005" s="171"/>
      <c r="D1005" s="171"/>
      <c r="E1005" s="165"/>
    </row>
    <row r="1006" s="151" customFormat="1" ht="15.95" hidden="1" customHeight="1" spans="1:5">
      <c r="A1006" s="65" t="s">
        <v>860</v>
      </c>
      <c r="B1006" s="171"/>
      <c r="C1006" s="171"/>
      <c r="D1006" s="171"/>
      <c r="E1006" s="165"/>
    </row>
    <row r="1007" s="151" customFormat="1" ht="15.95" hidden="1" customHeight="1" spans="1:5">
      <c r="A1007" s="65" t="s">
        <v>861</v>
      </c>
      <c r="B1007" s="171"/>
      <c r="C1007" s="171"/>
      <c r="D1007" s="171"/>
      <c r="E1007" s="165"/>
    </row>
    <row r="1008" s="151" customFormat="1" ht="15.95" hidden="1" customHeight="1" spans="1:5">
      <c r="A1008" s="65" t="s">
        <v>862</v>
      </c>
      <c r="B1008" s="178"/>
      <c r="C1008" s="178"/>
      <c r="D1008" s="178"/>
      <c r="E1008" s="165"/>
    </row>
    <row r="1009" s="151" customFormat="1" ht="15.95" hidden="1" customHeight="1" spans="1:5">
      <c r="A1009" s="65" t="s">
        <v>863</v>
      </c>
      <c r="B1009" s="171"/>
      <c r="C1009" s="171"/>
      <c r="D1009" s="171"/>
      <c r="E1009" s="165"/>
    </row>
    <row r="1010" s="151" customFormat="1" ht="15.95" hidden="1" customHeight="1" spans="1:5">
      <c r="A1010" s="63" t="s">
        <v>864</v>
      </c>
      <c r="B1010" s="174"/>
      <c r="C1010" s="174">
        <v>0</v>
      </c>
      <c r="D1010" s="174">
        <v>0</v>
      </c>
      <c r="E1010" s="165"/>
    </row>
    <row r="1011" s="151" customFormat="1" ht="15.95" hidden="1" customHeight="1" spans="1:5">
      <c r="A1011" s="65" t="s">
        <v>107</v>
      </c>
      <c r="B1011" s="178"/>
      <c r="C1011" s="178"/>
      <c r="D1011" s="178"/>
      <c r="E1011" s="165"/>
    </row>
    <row r="1012" s="151" customFormat="1" ht="15.95" hidden="1" customHeight="1" spans="1:5">
      <c r="A1012" s="65" t="s">
        <v>108</v>
      </c>
      <c r="B1012" s="178"/>
      <c r="C1012" s="178"/>
      <c r="D1012" s="178"/>
      <c r="E1012" s="165"/>
    </row>
    <row r="1013" s="151" customFormat="1" ht="15.95" hidden="1" customHeight="1" spans="1:5">
      <c r="A1013" s="65" t="s">
        <v>109</v>
      </c>
      <c r="B1013" s="171"/>
      <c r="C1013" s="171"/>
      <c r="D1013" s="171"/>
      <c r="E1013" s="165"/>
    </row>
    <row r="1014" s="151" customFormat="1" ht="15.95" hidden="1" customHeight="1" spans="1:5">
      <c r="A1014" s="65" t="s">
        <v>865</v>
      </c>
      <c r="B1014" s="171"/>
      <c r="C1014" s="171"/>
      <c r="D1014" s="171"/>
      <c r="E1014" s="165"/>
    </row>
    <row r="1015" s="151" customFormat="1" ht="15.95" hidden="1" customHeight="1" spans="1:5">
      <c r="A1015" s="65" t="s">
        <v>866</v>
      </c>
      <c r="B1015" s="171"/>
      <c r="C1015" s="171"/>
      <c r="D1015" s="171"/>
      <c r="E1015" s="165"/>
    </row>
    <row r="1016" s="151" customFormat="1" ht="15.95" hidden="1" customHeight="1" spans="1:5">
      <c r="A1016" s="65" t="s">
        <v>867</v>
      </c>
      <c r="B1016" s="171"/>
      <c r="C1016" s="171"/>
      <c r="D1016" s="171"/>
      <c r="E1016" s="165"/>
    </row>
    <row r="1017" s="151" customFormat="1" ht="15.95" hidden="1" customHeight="1" spans="1:5">
      <c r="A1017" s="65" t="s">
        <v>868</v>
      </c>
      <c r="B1017" s="171"/>
      <c r="C1017" s="171"/>
      <c r="D1017" s="171"/>
      <c r="E1017" s="165"/>
    </row>
    <row r="1018" s="151" customFormat="1" ht="15.95" hidden="1" customHeight="1" spans="1:5">
      <c r="A1018" s="65" t="s">
        <v>869</v>
      </c>
      <c r="B1018" s="171"/>
      <c r="C1018" s="171"/>
      <c r="D1018" s="171"/>
      <c r="E1018" s="165"/>
    </row>
    <row r="1019" s="151" customFormat="1" ht="15.95" hidden="1" customHeight="1" spans="1:5">
      <c r="A1019" s="65" t="s">
        <v>870</v>
      </c>
      <c r="B1019" s="171"/>
      <c r="C1019" s="171"/>
      <c r="D1019" s="171"/>
      <c r="E1019" s="165"/>
    </row>
    <row r="1020" s="151" customFormat="1" ht="15.95" hidden="1" customHeight="1" spans="1:5">
      <c r="A1020" s="63" t="s">
        <v>871</v>
      </c>
      <c r="B1020" s="171"/>
      <c r="C1020" s="171"/>
      <c r="D1020" s="171"/>
      <c r="E1020" s="165"/>
    </row>
    <row r="1021" s="151" customFormat="1" ht="15.95" hidden="1" customHeight="1" spans="1:5">
      <c r="A1021" s="65" t="s">
        <v>107</v>
      </c>
      <c r="B1021" s="171"/>
      <c r="C1021" s="171"/>
      <c r="D1021" s="171"/>
      <c r="E1021" s="165"/>
    </row>
    <row r="1022" s="151" customFormat="1" ht="15.95" hidden="1" customHeight="1" spans="1:5">
      <c r="A1022" s="65" t="s">
        <v>108</v>
      </c>
      <c r="B1022" s="174">
        <v>0</v>
      </c>
      <c r="C1022" s="174">
        <v>0</v>
      </c>
      <c r="D1022" s="174">
        <v>0</v>
      </c>
      <c r="E1022" s="165"/>
    </row>
    <row r="1023" s="151" customFormat="1" ht="15.95" hidden="1" customHeight="1" spans="1:5">
      <c r="A1023" s="65" t="s">
        <v>109</v>
      </c>
      <c r="B1023" s="171"/>
      <c r="C1023" s="171"/>
      <c r="D1023" s="171"/>
      <c r="E1023" s="165"/>
    </row>
    <row r="1024" s="151" customFormat="1" ht="15.95" hidden="1" customHeight="1" spans="1:5">
      <c r="A1024" s="65" t="s">
        <v>862</v>
      </c>
      <c r="B1024" s="171"/>
      <c r="C1024" s="171"/>
      <c r="D1024" s="171"/>
      <c r="E1024" s="165"/>
    </row>
    <row r="1025" s="151" customFormat="1" ht="15.95" hidden="1" customHeight="1" spans="1:5">
      <c r="A1025" s="65" t="s">
        <v>872</v>
      </c>
      <c r="B1025" s="171"/>
      <c r="C1025" s="171"/>
      <c r="D1025" s="171"/>
      <c r="E1025" s="165"/>
    </row>
    <row r="1026" s="151" customFormat="1" ht="15.95" hidden="1" customHeight="1" spans="1:5">
      <c r="A1026" s="65" t="s">
        <v>873</v>
      </c>
      <c r="B1026" s="171"/>
      <c r="C1026" s="171"/>
      <c r="D1026" s="171"/>
      <c r="E1026" s="165"/>
    </row>
    <row r="1027" s="151" customFormat="1" ht="15.95" customHeight="1" spans="1:5">
      <c r="A1027" s="63" t="s">
        <v>874</v>
      </c>
      <c r="B1027" s="174">
        <v>379</v>
      </c>
      <c r="C1027" s="174">
        <v>977</v>
      </c>
      <c r="D1027" s="174">
        <v>977</v>
      </c>
      <c r="E1027" s="165">
        <f t="shared" ref="E1027:E1030" si="75">D1027/B1027</f>
        <v>2.5778364116095</v>
      </c>
    </row>
    <row r="1028" s="151" customFormat="1" ht="15.95" hidden="1" customHeight="1" spans="1:5">
      <c r="A1028" s="65" t="s">
        <v>875</v>
      </c>
      <c r="B1028" s="174">
        <v>0</v>
      </c>
      <c r="C1028" s="174"/>
      <c r="D1028" s="174"/>
      <c r="E1028" s="165"/>
    </row>
    <row r="1029" s="151" customFormat="1" ht="15.95" customHeight="1" spans="1:5">
      <c r="A1029" s="65" t="s">
        <v>876</v>
      </c>
      <c r="B1029" s="171">
        <v>379</v>
      </c>
      <c r="C1029" s="171">
        <v>977</v>
      </c>
      <c r="D1029" s="171">
        <v>977</v>
      </c>
      <c r="E1029" s="172">
        <f t="shared" si="75"/>
        <v>2.5778364116095</v>
      </c>
    </row>
    <row r="1030" s="151" customFormat="1" ht="21" customHeight="1" spans="1:5">
      <c r="A1030" s="179" t="s">
        <v>877</v>
      </c>
      <c r="B1030" s="174">
        <v>923</v>
      </c>
      <c r="C1030" s="179">
        <v>415</v>
      </c>
      <c r="D1030" s="179">
        <f>D1062+D1080</f>
        <v>405</v>
      </c>
      <c r="E1030" s="165">
        <f t="shared" si="75"/>
        <v>0.438786565547129</v>
      </c>
    </row>
    <row r="1031" s="151" customFormat="1" ht="15.95" hidden="1" customHeight="1" spans="1:5">
      <c r="A1031" s="63" t="s">
        <v>878</v>
      </c>
      <c r="B1031" s="174">
        <v>0</v>
      </c>
      <c r="C1031" s="174">
        <v>0</v>
      </c>
      <c r="D1031" s="174">
        <v>0</v>
      </c>
      <c r="E1031" s="165"/>
    </row>
    <row r="1032" s="151" customFormat="1" ht="15.95" hidden="1" customHeight="1" spans="1:5">
      <c r="A1032" s="65" t="s">
        <v>107</v>
      </c>
      <c r="B1032" s="171"/>
      <c r="C1032" s="171"/>
      <c r="D1032" s="171"/>
      <c r="E1032" s="165"/>
    </row>
    <row r="1033" s="151" customFormat="1" ht="15.95" hidden="1" customHeight="1" spans="1:5">
      <c r="A1033" s="65" t="s">
        <v>108</v>
      </c>
      <c r="B1033" s="178"/>
      <c r="C1033" s="178"/>
      <c r="D1033" s="178"/>
      <c r="E1033" s="165"/>
    </row>
    <row r="1034" s="151" customFormat="1" ht="15.95" hidden="1" customHeight="1" spans="1:5">
      <c r="A1034" s="65" t="s">
        <v>109</v>
      </c>
      <c r="B1034" s="171"/>
      <c r="C1034" s="171"/>
      <c r="D1034" s="171"/>
      <c r="E1034" s="165"/>
    </row>
    <row r="1035" s="151" customFormat="1" ht="15.95" hidden="1" customHeight="1" spans="1:5">
      <c r="A1035" s="65" t="s">
        <v>879</v>
      </c>
      <c r="B1035" s="171"/>
      <c r="C1035" s="171"/>
      <c r="D1035" s="171"/>
      <c r="E1035" s="165"/>
    </row>
    <row r="1036" s="151" customFormat="1" ht="15.95" hidden="1" customHeight="1" spans="1:5">
      <c r="A1036" s="65" t="s">
        <v>880</v>
      </c>
      <c r="B1036" s="171"/>
      <c r="C1036" s="171"/>
      <c r="D1036" s="171"/>
      <c r="E1036" s="165"/>
    </row>
    <row r="1037" s="151" customFormat="1" ht="15.95" hidden="1" customHeight="1" spans="1:5">
      <c r="A1037" s="65" t="s">
        <v>881</v>
      </c>
      <c r="B1037" s="171"/>
      <c r="C1037" s="171"/>
      <c r="D1037" s="171"/>
      <c r="E1037" s="165"/>
    </row>
    <row r="1038" s="151" customFormat="1" ht="15.95" hidden="1" customHeight="1" spans="1:5">
      <c r="A1038" s="65" t="s">
        <v>882</v>
      </c>
      <c r="B1038" s="178"/>
      <c r="C1038" s="178"/>
      <c r="D1038" s="178"/>
      <c r="E1038" s="165"/>
    </row>
    <row r="1039" s="151" customFormat="1" ht="15.95" hidden="1" customHeight="1" spans="1:5">
      <c r="A1039" s="65" t="s">
        <v>883</v>
      </c>
      <c r="B1039" s="171"/>
      <c r="C1039" s="171"/>
      <c r="D1039" s="171"/>
      <c r="E1039" s="165"/>
    </row>
    <row r="1040" s="151" customFormat="1" ht="15.95" hidden="1" customHeight="1" spans="1:5">
      <c r="A1040" s="65" t="s">
        <v>884</v>
      </c>
      <c r="B1040" s="171"/>
      <c r="C1040" s="171"/>
      <c r="D1040" s="171"/>
      <c r="E1040" s="165"/>
    </row>
    <row r="1041" s="151" customFormat="1" ht="15.95" hidden="1" customHeight="1" spans="1:5">
      <c r="A1041" s="63" t="s">
        <v>885</v>
      </c>
      <c r="B1041" s="174">
        <v>0</v>
      </c>
      <c r="C1041" s="174">
        <v>0</v>
      </c>
      <c r="D1041" s="174">
        <v>0</v>
      </c>
      <c r="E1041" s="165"/>
    </row>
    <row r="1042" s="151" customFormat="1" ht="15.95" hidden="1" customHeight="1" spans="1:5">
      <c r="A1042" s="65" t="s">
        <v>107</v>
      </c>
      <c r="B1042" s="171"/>
      <c r="C1042" s="171"/>
      <c r="D1042" s="171"/>
      <c r="E1042" s="165"/>
    </row>
    <row r="1043" s="151" customFormat="1" ht="15.95" hidden="1" customHeight="1" spans="1:5">
      <c r="A1043" s="65" t="s">
        <v>108</v>
      </c>
      <c r="B1043" s="171"/>
      <c r="C1043" s="171"/>
      <c r="D1043" s="171"/>
      <c r="E1043" s="165"/>
    </row>
    <row r="1044" s="151" customFormat="1" ht="15.95" hidden="1" customHeight="1" spans="1:5">
      <c r="A1044" s="65" t="s">
        <v>109</v>
      </c>
      <c r="B1044" s="171"/>
      <c r="C1044" s="171"/>
      <c r="D1044" s="171"/>
      <c r="E1044" s="165"/>
    </row>
    <row r="1045" s="151" customFormat="1" ht="15.95" hidden="1" customHeight="1" spans="1:5">
      <c r="A1045" s="65" t="s">
        <v>886</v>
      </c>
      <c r="B1045" s="171"/>
      <c r="C1045" s="171"/>
      <c r="D1045" s="171"/>
      <c r="E1045" s="165"/>
    </row>
    <row r="1046" s="151" customFormat="1" ht="15.95" hidden="1" customHeight="1" spans="1:5">
      <c r="A1046" s="65" t="s">
        <v>887</v>
      </c>
      <c r="B1046" s="171"/>
      <c r="C1046" s="171"/>
      <c r="D1046" s="171"/>
      <c r="E1046" s="165"/>
    </row>
    <row r="1047" s="151" customFormat="1" ht="15.95" hidden="1" customHeight="1" spans="1:5">
      <c r="A1047" s="65" t="s">
        <v>888</v>
      </c>
      <c r="B1047" s="171"/>
      <c r="C1047" s="171"/>
      <c r="D1047" s="171"/>
      <c r="E1047" s="165"/>
    </row>
    <row r="1048" s="151" customFormat="1" ht="20.1" hidden="1" customHeight="1" spans="1:5">
      <c r="A1048" s="65" t="s">
        <v>889</v>
      </c>
      <c r="B1048" s="171"/>
      <c r="C1048" s="171"/>
      <c r="D1048" s="171"/>
      <c r="E1048" s="165"/>
    </row>
    <row r="1049" s="151" customFormat="1" ht="15.95" hidden="1" customHeight="1" spans="1:5">
      <c r="A1049" s="65" t="s">
        <v>890</v>
      </c>
      <c r="B1049" s="178"/>
      <c r="C1049" s="178"/>
      <c r="D1049" s="178"/>
      <c r="E1049" s="165"/>
    </row>
    <row r="1050" s="151" customFormat="1" ht="15.95" hidden="1" customHeight="1" spans="1:5">
      <c r="A1050" s="65" t="s">
        <v>891</v>
      </c>
      <c r="B1050" s="171"/>
      <c r="C1050" s="171"/>
      <c r="D1050" s="171"/>
      <c r="E1050" s="165"/>
    </row>
    <row r="1051" s="151" customFormat="1" ht="15.95" hidden="1" customHeight="1" spans="1:5">
      <c r="A1051" s="65" t="s">
        <v>892</v>
      </c>
      <c r="B1051" s="171"/>
      <c r="C1051" s="171"/>
      <c r="D1051" s="171"/>
      <c r="E1051" s="165"/>
    </row>
    <row r="1052" s="151" customFormat="1" ht="21" hidden="1" customHeight="1" spans="1:5">
      <c r="A1052" s="65" t="s">
        <v>893</v>
      </c>
      <c r="B1052" s="171"/>
      <c r="C1052" s="171"/>
      <c r="D1052" s="171"/>
      <c r="E1052" s="165"/>
    </row>
    <row r="1053" s="151" customFormat="1" ht="15.95" hidden="1" customHeight="1" spans="1:5">
      <c r="A1053" s="65" t="s">
        <v>894</v>
      </c>
      <c r="B1053" s="171"/>
      <c r="C1053" s="171"/>
      <c r="D1053" s="171"/>
      <c r="E1053" s="165"/>
    </row>
    <row r="1054" s="151" customFormat="1" ht="15.95" hidden="1" customHeight="1" spans="1:5">
      <c r="A1054" s="65" t="s">
        <v>895</v>
      </c>
      <c r="B1054" s="171"/>
      <c r="C1054" s="171"/>
      <c r="D1054" s="171"/>
      <c r="E1054" s="165"/>
    </row>
    <row r="1055" s="151" customFormat="1" ht="15.95" hidden="1" customHeight="1" spans="1:5">
      <c r="A1055" s="65" t="s">
        <v>896</v>
      </c>
      <c r="B1055" s="171"/>
      <c r="C1055" s="171"/>
      <c r="D1055" s="171"/>
      <c r="E1055" s="165"/>
    </row>
    <row r="1056" s="151" customFormat="1" ht="15.95" hidden="1" customHeight="1" spans="1:5">
      <c r="A1056" s="65" t="s">
        <v>897</v>
      </c>
      <c r="B1056" s="178"/>
      <c r="C1056" s="178"/>
      <c r="D1056" s="178"/>
      <c r="E1056" s="165"/>
    </row>
    <row r="1057" s="151" customFormat="1" ht="15.95" hidden="1" customHeight="1" spans="1:5">
      <c r="A1057" s="63" t="s">
        <v>898</v>
      </c>
      <c r="B1057" s="174">
        <v>0</v>
      </c>
      <c r="C1057" s="174">
        <v>0</v>
      </c>
      <c r="D1057" s="174">
        <v>0</v>
      </c>
      <c r="E1057" s="165"/>
    </row>
    <row r="1058" s="151" customFormat="1" ht="15.95" hidden="1" customHeight="1" spans="1:5">
      <c r="A1058" s="65" t="s">
        <v>107</v>
      </c>
      <c r="B1058" s="171"/>
      <c r="C1058" s="171"/>
      <c r="D1058" s="171"/>
      <c r="E1058" s="165"/>
    </row>
    <row r="1059" s="151" customFormat="1" ht="15.95" hidden="1" customHeight="1" spans="1:5">
      <c r="A1059" s="65" t="s">
        <v>108</v>
      </c>
      <c r="B1059" s="171"/>
      <c r="C1059" s="171"/>
      <c r="D1059" s="171"/>
      <c r="E1059" s="165"/>
    </row>
    <row r="1060" s="151" customFormat="1" ht="15.95" hidden="1" customHeight="1" spans="1:5">
      <c r="A1060" s="65" t="s">
        <v>109</v>
      </c>
      <c r="B1060" s="171"/>
      <c r="C1060" s="171"/>
      <c r="D1060" s="171"/>
      <c r="E1060" s="165"/>
    </row>
    <row r="1061" s="151" customFormat="1" ht="15.95" hidden="1" customHeight="1" spans="1:5">
      <c r="A1061" s="65" t="s">
        <v>899</v>
      </c>
      <c r="B1061" s="171"/>
      <c r="C1061" s="171"/>
      <c r="D1061" s="171"/>
      <c r="E1061" s="165"/>
    </row>
    <row r="1062" s="151" customFormat="1" ht="15.95" customHeight="1" spans="1:5">
      <c r="A1062" s="63" t="s">
        <v>900</v>
      </c>
      <c r="B1062" s="174">
        <v>828</v>
      </c>
      <c r="C1062" s="174">
        <v>239</v>
      </c>
      <c r="D1062" s="174">
        <f>D1063</f>
        <v>229</v>
      </c>
      <c r="E1062" s="165">
        <f>D1062/B1062</f>
        <v>0.276570048309179</v>
      </c>
    </row>
    <row r="1063" s="151" customFormat="1" ht="15.95" customHeight="1" spans="1:5">
      <c r="A1063" s="65" t="s">
        <v>107</v>
      </c>
      <c r="B1063" s="171">
        <v>169</v>
      </c>
      <c r="C1063" s="171">
        <v>239</v>
      </c>
      <c r="D1063" s="171">
        <f>239-10</f>
        <v>229</v>
      </c>
      <c r="E1063" s="172">
        <f>D1063/B1063</f>
        <v>1.35502958579882</v>
      </c>
    </row>
    <row r="1064" s="151" customFormat="1" ht="15.95" hidden="1" customHeight="1" spans="1:5">
      <c r="A1064" s="65" t="s">
        <v>108</v>
      </c>
      <c r="B1064" s="178">
        <v>0</v>
      </c>
      <c r="C1064" s="178"/>
      <c r="D1064" s="178"/>
      <c r="E1064" s="172"/>
    </row>
    <row r="1065" s="151" customFormat="1" ht="15.95" hidden="1" customHeight="1" spans="1:5">
      <c r="A1065" s="65" t="s">
        <v>109</v>
      </c>
      <c r="B1065" s="171">
        <v>0</v>
      </c>
      <c r="C1065" s="171"/>
      <c r="D1065" s="171"/>
      <c r="E1065" s="172"/>
    </row>
    <row r="1066" s="151" customFormat="1" ht="15.95" hidden="1" customHeight="1" spans="1:5">
      <c r="A1066" s="65" t="s">
        <v>901</v>
      </c>
      <c r="B1066" s="171">
        <v>0</v>
      </c>
      <c r="C1066" s="171"/>
      <c r="D1066" s="171"/>
      <c r="E1066" s="172"/>
    </row>
    <row r="1067" s="151" customFormat="1" ht="15.95" hidden="1" customHeight="1" spans="1:5">
      <c r="A1067" s="65" t="s">
        <v>902</v>
      </c>
      <c r="B1067" s="171">
        <v>0</v>
      </c>
      <c r="C1067" s="171"/>
      <c r="D1067" s="171"/>
      <c r="E1067" s="172"/>
    </row>
    <row r="1068" s="151" customFormat="1" ht="15.95" hidden="1" customHeight="1" spans="1:5">
      <c r="A1068" s="65" t="s">
        <v>903</v>
      </c>
      <c r="B1068" s="171">
        <v>0</v>
      </c>
      <c r="C1068" s="171"/>
      <c r="D1068" s="171"/>
      <c r="E1068" s="172"/>
    </row>
    <row r="1069" s="151" customFormat="1" ht="15.95" hidden="1" customHeight="1" spans="1:5">
      <c r="A1069" s="65" t="s">
        <v>904</v>
      </c>
      <c r="B1069" s="171">
        <v>0</v>
      </c>
      <c r="C1069" s="171"/>
      <c r="D1069" s="171"/>
      <c r="E1069" s="172"/>
    </row>
    <row r="1070" s="151" customFormat="1" ht="15.95" hidden="1" customHeight="1" spans="1:5">
      <c r="A1070" s="65" t="s">
        <v>905</v>
      </c>
      <c r="B1070" s="178">
        <v>0</v>
      </c>
      <c r="C1070" s="178"/>
      <c r="D1070" s="178"/>
      <c r="E1070" s="172"/>
    </row>
    <row r="1071" s="151" customFormat="1" ht="15.95" hidden="1" customHeight="1" spans="1:5">
      <c r="A1071" s="65" t="s">
        <v>116</v>
      </c>
      <c r="B1071" s="178">
        <v>0</v>
      </c>
      <c r="C1071" s="178"/>
      <c r="D1071" s="178"/>
      <c r="E1071" s="172"/>
    </row>
    <row r="1072" s="151" customFormat="1" customHeight="1" spans="1:5">
      <c r="A1072" s="65" t="s">
        <v>906</v>
      </c>
      <c r="B1072" s="171">
        <v>659</v>
      </c>
      <c r="C1072" s="171"/>
      <c r="D1072" s="171"/>
      <c r="E1072" s="172">
        <f>D1072/B1072</f>
        <v>0</v>
      </c>
    </row>
    <row r="1073" s="151" customFormat="1" ht="15.95" customHeight="1" spans="1:5">
      <c r="A1073" s="63" t="s">
        <v>907</v>
      </c>
      <c r="B1073" s="174">
        <v>27</v>
      </c>
      <c r="C1073" s="174">
        <v>0</v>
      </c>
      <c r="D1073" s="174">
        <v>0</v>
      </c>
      <c r="E1073" s="165">
        <f>D1073/B1073</f>
        <v>0</v>
      </c>
    </row>
    <row r="1074" s="151" customFormat="1" ht="15.95" hidden="1" customHeight="1" spans="1:5">
      <c r="A1074" s="65" t="s">
        <v>107</v>
      </c>
      <c r="B1074" s="171">
        <v>0</v>
      </c>
      <c r="C1074" s="171"/>
      <c r="D1074" s="171"/>
      <c r="E1074" s="165"/>
    </row>
    <row r="1075" s="151" customFormat="1" ht="15.95" hidden="1" customHeight="1" spans="1:5">
      <c r="A1075" s="65" t="s">
        <v>108</v>
      </c>
      <c r="B1075" s="171">
        <v>0</v>
      </c>
      <c r="C1075" s="171"/>
      <c r="D1075" s="171"/>
      <c r="E1075" s="165"/>
    </row>
    <row r="1076" s="151" customFormat="1" ht="15.95" hidden="1" customHeight="1" spans="1:5">
      <c r="A1076" s="65" t="s">
        <v>109</v>
      </c>
      <c r="B1076" s="171">
        <v>0</v>
      </c>
      <c r="C1076" s="171"/>
      <c r="D1076" s="171"/>
      <c r="E1076" s="165"/>
    </row>
    <row r="1077" s="151" customFormat="1" ht="15.95" hidden="1" customHeight="1" spans="1:5">
      <c r="A1077" s="65" t="s">
        <v>908</v>
      </c>
      <c r="B1077" s="171">
        <v>0</v>
      </c>
      <c r="C1077" s="171"/>
      <c r="D1077" s="171"/>
      <c r="E1077" s="165"/>
    </row>
    <row r="1078" s="151" customFormat="1" ht="15.95" hidden="1" customHeight="1" spans="1:5">
      <c r="A1078" s="65" t="s">
        <v>909</v>
      </c>
      <c r="B1078" s="171">
        <v>0</v>
      </c>
      <c r="C1078" s="171"/>
      <c r="D1078" s="171"/>
      <c r="E1078" s="165"/>
    </row>
    <row r="1079" s="151" customFormat="1" ht="15.95" customHeight="1" spans="1:5">
      <c r="A1079" s="65" t="s">
        <v>910</v>
      </c>
      <c r="B1079" s="171">
        <v>27</v>
      </c>
      <c r="C1079" s="171"/>
      <c r="D1079" s="171"/>
      <c r="E1079" s="172">
        <f>D1079/B1079</f>
        <v>0</v>
      </c>
    </row>
    <row r="1080" s="151" customFormat="1" ht="18.95" customHeight="1" spans="1:5">
      <c r="A1080" s="63" t="s">
        <v>911</v>
      </c>
      <c r="B1080" s="174">
        <v>68</v>
      </c>
      <c r="C1080" s="174">
        <v>176</v>
      </c>
      <c r="D1080" s="174">
        <v>176</v>
      </c>
      <c r="E1080" s="165">
        <f>D1080/B1080</f>
        <v>2.58823529411765</v>
      </c>
    </row>
    <row r="1081" s="151" customFormat="1" ht="15.95" hidden="1" customHeight="1" spans="1:5">
      <c r="A1081" s="65" t="s">
        <v>107</v>
      </c>
      <c r="B1081" s="178">
        <v>0</v>
      </c>
      <c r="C1081" s="178"/>
      <c r="D1081" s="178"/>
      <c r="E1081" s="165"/>
    </row>
    <row r="1082" s="151" customFormat="1" ht="15.95" hidden="1" customHeight="1" spans="1:5">
      <c r="A1082" s="65" t="s">
        <v>108</v>
      </c>
      <c r="B1082" s="171">
        <v>0</v>
      </c>
      <c r="C1082" s="171"/>
      <c r="D1082" s="171"/>
      <c r="E1082" s="165"/>
    </row>
    <row r="1083" s="151" customFormat="1" ht="15.95" hidden="1" customHeight="1" spans="1:5">
      <c r="A1083" s="65" t="s">
        <v>109</v>
      </c>
      <c r="B1083" s="171">
        <v>0</v>
      </c>
      <c r="C1083" s="171"/>
      <c r="D1083" s="171"/>
      <c r="E1083" s="165"/>
    </row>
    <row r="1084" s="151" customFormat="1" ht="15.95" hidden="1" customHeight="1" spans="1:5">
      <c r="A1084" s="65" t="s">
        <v>912</v>
      </c>
      <c r="B1084" s="171">
        <v>0</v>
      </c>
      <c r="C1084" s="171"/>
      <c r="D1084" s="171"/>
      <c r="E1084" s="165"/>
    </row>
    <row r="1085" s="151" customFormat="1" ht="15.95" customHeight="1" spans="1:5">
      <c r="A1085" s="65" t="s">
        <v>913</v>
      </c>
      <c r="B1085" s="171">
        <v>68</v>
      </c>
      <c r="C1085" s="171">
        <v>176</v>
      </c>
      <c r="D1085" s="171">
        <v>176</v>
      </c>
      <c r="E1085" s="172">
        <f>D1085/B1085</f>
        <v>2.58823529411765</v>
      </c>
    </row>
    <row r="1086" s="151" customFormat="1" ht="15.95" hidden="1" customHeight="1" spans="1:5">
      <c r="A1086" s="65" t="s">
        <v>914</v>
      </c>
      <c r="B1086" s="171">
        <v>0</v>
      </c>
      <c r="C1086" s="171"/>
      <c r="D1086" s="171"/>
      <c r="E1086" s="165"/>
    </row>
    <row r="1087" s="151" customFormat="1" ht="20.1" hidden="1" customHeight="1" spans="1:5">
      <c r="A1087" s="65" t="s">
        <v>915</v>
      </c>
      <c r="B1087" s="178">
        <v>0</v>
      </c>
      <c r="C1087" s="178"/>
      <c r="D1087" s="178"/>
      <c r="E1087" s="165"/>
    </row>
    <row r="1088" s="151" customFormat="1" ht="20.1" hidden="1" customHeight="1" spans="1:5">
      <c r="A1088" s="63" t="s">
        <v>916</v>
      </c>
      <c r="B1088" s="171"/>
      <c r="C1088" s="171"/>
      <c r="D1088" s="171"/>
      <c r="E1088" s="165"/>
    </row>
    <row r="1089" s="151" customFormat="1" ht="15.95" hidden="1" customHeight="1" spans="1:5">
      <c r="A1089" s="65" t="s">
        <v>917</v>
      </c>
      <c r="B1089" s="171"/>
      <c r="C1089" s="171"/>
      <c r="D1089" s="171"/>
      <c r="E1089" s="165"/>
    </row>
    <row r="1090" s="151" customFormat="1" ht="15.95" hidden="1" customHeight="1" spans="1:5">
      <c r="A1090" s="65" t="s">
        <v>918</v>
      </c>
      <c r="B1090" s="174"/>
      <c r="C1090" s="174"/>
      <c r="D1090" s="174"/>
      <c r="E1090" s="165"/>
    </row>
    <row r="1091" s="151" customFormat="1" ht="15.95" hidden="1" customHeight="1" spans="1:5">
      <c r="A1091" s="65" t="s">
        <v>919</v>
      </c>
      <c r="B1091" s="174"/>
      <c r="C1091" s="174"/>
      <c r="D1091" s="174"/>
      <c r="E1091" s="165"/>
    </row>
    <row r="1092" s="151" customFormat="1" hidden="1" customHeight="1" spans="1:5">
      <c r="A1092" s="65" t="s">
        <v>920</v>
      </c>
      <c r="B1092" s="174"/>
      <c r="C1092" s="174"/>
      <c r="D1092" s="174"/>
      <c r="E1092" s="165"/>
    </row>
    <row r="1093" s="151" customFormat="1" hidden="1" customHeight="1" spans="1:5">
      <c r="A1093" s="65" t="s">
        <v>921</v>
      </c>
      <c r="B1093" s="174"/>
      <c r="C1093" s="174"/>
      <c r="D1093" s="174"/>
      <c r="E1093" s="165"/>
    </row>
    <row r="1094" s="151" customFormat="1" ht="15.95" customHeight="1" spans="1:5">
      <c r="A1094" s="179" t="s">
        <v>922</v>
      </c>
      <c r="B1094" s="174">
        <v>202</v>
      </c>
      <c r="C1094" s="174">
        <f>C1095+C1111</f>
        <v>178</v>
      </c>
      <c r="D1094" s="174">
        <f>D1095+D1111</f>
        <v>178</v>
      </c>
      <c r="E1094" s="165">
        <f>D1094/B1094</f>
        <v>0.881188118811881</v>
      </c>
    </row>
    <row r="1095" s="151" customFormat="1" ht="15.95" customHeight="1" spans="1:5">
      <c r="A1095" s="179" t="s">
        <v>923</v>
      </c>
      <c r="B1095" s="174">
        <v>38</v>
      </c>
      <c r="C1095" s="174">
        <v>56</v>
      </c>
      <c r="D1095" s="174">
        <v>56</v>
      </c>
      <c r="E1095" s="165">
        <f>D1095/B1095</f>
        <v>1.47368421052632</v>
      </c>
    </row>
    <row r="1096" s="151" customFormat="1" ht="15.95" hidden="1" customHeight="1" spans="1:5">
      <c r="A1096" s="173" t="s">
        <v>107</v>
      </c>
      <c r="B1096" s="171">
        <v>0</v>
      </c>
      <c r="C1096" s="171"/>
      <c r="D1096" s="171"/>
      <c r="E1096" s="165"/>
    </row>
    <row r="1097" s="151" customFormat="1" ht="15.95" hidden="1" customHeight="1" spans="1:5">
      <c r="A1097" s="173" t="s">
        <v>108</v>
      </c>
      <c r="B1097" s="171">
        <v>0</v>
      </c>
      <c r="C1097" s="171"/>
      <c r="D1097" s="171"/>
      <c r="E1097" s="165"/>
    </row>
    <row r="1098" s="151" customFormat="1" ht="15.95" hidden="1" customHeight="1" spans="1:5">
      <c r="A1098" s="176" t="s">
        <v>109</v>
      </c>
      <c r="B1098" s="178">
        <v>0</v>
      </c>
      <c r="C1098" s="178"/>
      <c r="D1098" s="178"/>
      <c r="E1098" s="165"/>
    </row>
    <row r="1099" s="151" customFormat="1" ht="15.95" hidden="1" customHeight="1" spans="1:5">
      <c r="A1099" s="173" t="s">
        <v>924</v>
      </c>
      <c r="B1099" s="171">
        <v>0</v>
      </c>
      <c r="C1099" s="171"/>
      <c r="D1099" s="171"/>
      <c r="E1099" s="165"/>
    </row>
    <row r="1100" s="151" customFormat="1" ht="15.95" hidden="1" customHeight="1" spans="1:5">
      <c r="A1100" s="173" t="s">
        <v>925</v>
      </c>
      <c r="B1100" s="171">
        <v>0</v>
      </c>
      <c r="C1100" s="171"/>
      <c r="D1100" s="171"/>
      <c r="E1100" s="165"/>
    </row>
    <row r="1101" s="151" customFormat="1" ht="15.95" hidden="1" customHeight="1" spans="1:5">
      <c r="A1101" s="173" t="s">
        <v>926</v>
      </c>
      <c r="B1101" s="171">
        <v>0</v>
      </c>
      <c r="C1101" s="171"/>
      <c r="D1101" s="171"/>
      <c r="E1101" s="165"/>
    </row>
    <row r="1102" s="151" customFormat="1" ht="15.95" hidden="1" customHeight="1" spans="1:5">
      <c r="A1102" s="173" t="s">
        <v>927</v>
      </c>
      <c r="B1102" s="171">
        <v>0</v>
      </c>
      <c r="C1102" s="171"/>
      <c r="D1102" s="171"/>
      <c r="E1102" s="165"/>
    </row>
    <row r="1103" s="151" customFormat="1" ht="15.95" hidden="1" customHeight="1" spans="1:5">
      <c r="A1103" s="173" t="s">
        <v>116</v>
      </c>
      <c r="B1103" s="171">
        <v>0</v>
      </c>
      <c r="C1103" s="171"/>
      <c r="D1103" s="171"/>
      <c r="E1103" s="165"/>
    </row>
    <row r="1104" s="151" customFormat="1" ht="15.95" customHeight="1" spans="1:5">
      <c r="A1104" s="173" t="s">
        <v>928</v>
      </c>
      <c r="B1104" s="171">
        <v>38</v>
      </c>
      <c r="C1104" s="171">
        <v>56</v>
      </c>
      <c r="D1104" s="171">
        <v>56</v>
      </c>
      <c r="E1104" s="172">
        <f>D1104/B1104</f>
        <v>1.47368421052632</v>
      </c>
    </row>
    <row r="1105" s="151" customFormat="1" ht="15.95" hidden="1" customHeight="1" spans="1:5">
      <c r="A1105" s="179" t="s">
        <v>929</v>
      </c>
      <c r="B1105" s="174">
        <v>0</v>
      </c>
      <c r="C1105" s="174">
        <v>0</v>
      </c>
      <c r="D1105" s="174">
        <v>0</v>
      </c>
      <c r="E1105" s="165"/>
    </row>
    <row r="1106" s="151" customFormat="1" ht="15.95" hidden="1" customHeight="1" spans="1:5">
      <c r="A1106" s="173" t="s">
        <v>107</v>
      </c>
      <c r="B1106" s="171"/>
      <c r="C1106" s="171"/>
      <c r="D1106" s="171"/>
      <c r="E1106" s="165"/>
    </row>
    <row r="1107" s="151" customFormat="1" ht="15.95" hidden="1" customHeight="1" spans="1:5">
      <c r="A1107" s="173" t="s">
        <v>108</v>
      </c>
      <c r="B1107" s="171"/>
      <c r="C1107" s="171"/>
      <c r="D1107" s="171"/>
      <c r="E1107" s="165"/>
    </row>
    <row r="1108" s="151" customFormat="1" ht="15.95" hidden="1" customHeight="1" spans="1:5">
      <c r="A1108" s="176" t="s">
        <v>109</v>
      </c>
      <c r="B1108" s="178"/>
      <c r="C1108" s="178"/>
      <c r="D1108" s="178"/>
      <c r="E1108" s="165"/>
    </row>
    <row r="1109" s="151" customFormat="1" ht="15.95" hidden="1" customHeight="1" spans="1:5">
      <c r="A1109" s="173" t="s">
        <v>930</v>
      </c>
      <c r="B1109" s="171"/>
      <c r="C1109" s="171"/>
      <c r="D1109" s="171"/>
      <c r="E1109" s="165"/>
    </row>
    <row r="1110" s="151" customFormat="1" ht="15.95" hidden="1" customHeight="1" spans="1:5">
      <c r="A1110" s="173" t="s">
        <v>931</v>
      </c>
      <c r="B1110" s="171"/>
      <c r="C1110" s="171"/>
      <c r="D1110" s="171"/>
      <c r="E1110" s="165"/>
    </row>
    <row r="1111" s="151" customFormat="1" ht="15.95" customHeight="1" spans="1:5">
      <c r="A1111" s="179" t="s">
        <v>932</v>
      </c>
      <c r="B1111" s="174">
        <v>164</v>
      </c>
      <c r="C1111" s="174">
        <v>122</v>
      </c>
      <c r="D1111" s="174">
        <v>122</v>
      </c>
      <c r="E1111" s="165">
        <f>D1111/B1111</f>
        <v>0.74390243902439</v>
      </c>
    </row>
    <row r="1112" s="151" customFormat="1" ht="15.95" customHeight="1" spans="1:5">
      <c r="A1112" s="173" t="s">
        <v>933</v>
      </c>
      <c r="B1112" s="171">
        <v>0</v>
      </c>
      <c r="C1112" s="171"/>
      <c r="D1112" s="171"/>
      <c r="E1112" s="165"/>
    </row>
    <row r="1113" s="151" customFormat="1" ht="15.95" customHeight="1" spans="1:5">
      <c r="A1113" s="173" t="s">
        <v>934</v>
      </c>
      <c r="B1113" s="171">
        <v>164</v>
      </c>
      <c r="C1113" s="171">
        <v>122</v>
      </c>
      <c r="D1113" s="171">
        <v>122</v>
      </c>
      <c r="E1113" s="172">
        <f>D1113/B1113</f>
        <v>0.74390243902439</v>
      </c>
    </row>
    <row r="1114" s="151" customFormat="1" ht="15.95" hidden="1" customHeight="1" spans="1:5">
      <c r="A1114" s="179" t="s">
        <v>935</v>
      </c>
      <c r="B1114" s="174">
        <v>0</v>
      </c>
      <c r="C1114" s="174"/>
      <c r="D1114" s="174"/>
      <c r="E1114" s="165"/>
    </row>
    <row r="1115" s="151" customFormat="1" ht="15.95" hidden="1" customHeight="1" spans="1:5">
      <c r="A1115" s="63" t="s">
        <v>936</v>
      </c>
      <c r="B1115" s="174">
        <v>0</v>
      </c>
      <c r="C1115" s="174"/>
      <c r="D1115" s="174"/>
      <c r="E1115" s="165"/>
    </row>
    <row r="1116" s="151" customFormat="1" ht="15.95" hidden="1" customHeight="1" spans="1:5">
      <c r="A1116" s="65" t="s">
        <v>107</v>
      </c>
      <c r="B1116" s="171"/>
      <c r="C1116" s="171"/>
      <c r="D1116" s="171"/>
      <c r="E1116" s="165"/>
    </row>
    <row r="1117" s="151" customFormat="1" ht="15.95" hidden="1" customHeight="1" spans="1:5">
      <c r="A1117" s="65" t="s">
        <v>108</v>
      </c>
      <c r="B1117" s="178"/>
      <c r="C1117" s="178"/>
      <c r="D1117" s="178"/>
      <c r="E1117" s="165"/>
    </row>
    <row r="1118" s="151" customFormat="1" ht="15.95" hidden="1" customHeight="1" spans="1:5">
      <c r="A1118" s="65" t="s">
        <v>109</v>
      </c>
      <c r="B1118" s="171"/>
      <c r="C1118" s="171"/>
      <c r="D1118" s="171"/>
      <c r="E1118" s="165"/>
    </row>
    <row r="1119" s="151" customFormat="1" ht="15.95" hidden="1" customHeight="1" spans="1:5">
      <c r="A1119" s="65" t="s">
        <v>937</v>
      </c>
      <c r="B1119" s="171"/>
      <c r="C1119" s="171"/>
      <c r="D1119" s="171"/>
      <c r="E1119" s="165"/>
    </row>
    <row r="1120" s="151" customFormat="1" ht="15.95" hidden="1" customHeight="1" spans="1:5">
      <c r="A1120" s="65" t="s">
        <v>116</v>
      </c>
      <c r="B1120" s="167"/>
      <c r="C1120" s="167"/>
      <c r="D1120" s="167"/>
      <c r="E1120" s="165"/>
    </row>
    <row r="1121" s="151" customFormat="1" ht="15.95" hidden="1" customHeight="1" spans="1:5">
      <c r="A1121" s="65" t="s">
        <v>938</v>
      </c>
      <c r="B1121" s="171"/>
      <c r="C1121" s="171"/>
      <c r="D1121" s="171"/>
      <c r="E1121" s="165"/>
    </row>
    <row r="1122" s="151" customFormat="1" ht="15.95" hidden="1" customHeight="1" spans="1:5">
      <c r="A1122" s="63" t="s">
        <v>939</v>
      </c>
      <c r="B1122" s="171">
        <v>0</v>
      </c>
      <c r="C1122" s="171"/>
      <c r="D1122" s="171"/>
      <c r="E1122" s="165"/>
    </row>
    <row r="1123" s="151" customFormat="1" ht="15.95" hidden="1" customHeight="1" spans="1:5">
      <c r="A1123" s="65" t="s">
        <v>940</v>
      </c>
      <c r="B1123" s="171"/>
      <c r="C1123" s="171"/>
      <c r="D1123" s="171"/>
      <c r="E1123" s="165"/>
    </row>
    <row r="1124" s="151" customFormat="1" ht="15.95" hidden="1" customHeight="1" spans="1:5">
      <c r="A1124" s="65" t="s">
        <v>941</v>
      </c>
      <c r="B1124" s="171"/>
      <c r="C1124" s="171"/>
      <c r="D1124" s="171"/>
      <c r="E1124" s="165"/>
    </row>
    <row r="1125" s="151" customFormat="1" ht="15.95" hidden="1" customHeight="1" spans="1:5">
      <c r="A1125" s="65" t="s">
        <v>942</v>
      </c>
      <c r="B1125" s="171"/>
      <c r="C1125" s="171"/>
      <c r="D1125" s="171"/>
      <c r="E1125" s="165"/>
    </row>
    <row r="1126" s="151" customFormat="1" ht="15.95" hidden="1" customHeight="1" spans="1:5">
      <c r="A1126" s="65" t="s">
        <v>943</v>
      </c>
      <c r="B1126" s="171"/>
      <c r="C1126" s="171"/>
      <c r="D1126" s="171"/>
      <c r="E1126" s="165"/>
    </row>
    <row r="1127" s="151" customFormat="1" ht="15.95" hidden="1" customHeight="1" spans="1:5">
      <c r="A1127" s="65" t="s">
        <v>944</v>
      </c>
      <c r="B1127" s="171"/>
      <c r="C1127" s="171"/>
      <c r="D1127" s="171"/>
      <c r="E1127" s="165"/>
    </row>
    <row r="1128" s="151" customFormat="1" ht="15.95" hidden="1" customHeight="1" spans="1:5">
      <c r="A1128" s="65" t="s">
        <v>945</v>
      </c>
      <c r="B1128" s="171"/>
      <c r="C1128" s="171"/>
      <c r="D1128" s="171"/>
      <c r="E1128" s="165"/>
    </row>
    <row r="1129" s="151" customFormat="1" ht="15.95" hidden="1" customHeight="1" spans="1:5">
      <c r="A1129" s="65" t="s">
        <v>946</v>
      </c>
      <c r="B1129" s="171"/>
      <c r="C1129" s="171"/>
      <c r="D1129" s="171"/>
      <c r="E1129" s="165"/>
    </row>
    <row r="1130" s="151" customFormat="1" ht="15.95" hidden="1" customHeight="1" spans="1:5">
      <c r="A1130" s="65" t="s">
        <v>947</v>
      </c>
      <c r="B1130" s="178"/>
      <c r="C1130" s="178"/>
      <c r="D1130" s="178"/>
      <c r="E1130" s="165"/>
    </row>
    <row r="1131" s="151" customFormat="1" ht="15.95" hidden="1" customHeight="1" spans="1:5">
      <c r="A1131" s="65" t="s">
        <v>948</v>
      </c>
      <c r="B1131" s="178"/>
      <c r="C1131" s="178"/>
      <c r="D1131" s="178"/>
      <c r="E1131" s="165"/>
    </row>
    <row r="1132" s="151" customFormat="1" ht="15.95" hidden="1" customHeight="1" spans="1:5">
      <c r="A1132" s="63" t="s">
        <v>949</v>
      </c>
      <c r="B1132" s="174">
        <v>0</v>
      </c>
      <c r="C1132" s="174"/>
      <c r="D1132" s="174"/>
      <c r="E1132" s="165"/>
    </row>
    <row r="1133" s="151" customFormat="1" ht="15.95" hidden="1" customHeight="1" spans="1:5">
      <c r="A1133" s="65" t="s">
        <v>950</v>
      </c>
      <c r="B1133" s="171"/>
      <c r="C1133" s="171"/>
      <c r="D1133" s="171"/>
      <c r="E1133" s="165"/>
    </row>
    <row r="1134" s="151" customFormat="1" ht="15.95" hidden="1" customHeight="1" spans="1:5">
      <c r="A1134" s="65" t="s">
        <v>951</v>
      </c>
      <c r="B1134" s="171"/>
      <c r="C1134" s="171"/>
      <c r="D1134" s="171"/>
      <c r="E1134" s="165"/>
    </row>
    <row r="1135" s="151" customFormat="1" ht="15.95" hidden="1" customHeight="1" spans="1:5">
      <c r="A1135" s="65" t="s">
        <v>952</v>
      </c>
      <c r="B1135" s="171"/>
      <c r="C1135" s="171"/>
      <c r="D1135" s="171"/>
      <c r="E1135" s="165"/>
    </row>
    <row r="1136" s="151" customFormat="1" ht="15.95" hidden="1" customHeight="1" spans="1:5">
      <c r="A1136" s="65" t="s">
        <v>953</v>
      </c>
      <c r="B1136" s="171"/>
      <c r="C1136" s="171"/>
      <c r="D1136" s="171"/>
      <c r="E1136" s="165"/>
    </row>
    <row r="1137" s="151" customFormat="1" ht="15.95" hidden="1" customHeight="1" spans="1:5">
      <c r="A1137" s="65" t="s">
        <v>954</v>
      </c>
      <c r="B1137" s="171"/>
      <c r="C1137" s="171"/>
      <c r="D1137" s="171"/>
      <c r="E1137" s="165"/>
    </row>
    <row r="1138" s="151" customFormat="1" ht="15.95" hidden="1" customHeight="1" spans="1:5">
      <c r="A1138" s="63" t="s">
        <v>955</v>
      </c>
      <c r="B1138" s="174">
        <v>0</v>
      </c>
      <c r="C1138" s="174"/>
      <c r="D1138" s="174"/>
      <c r="E1138" s="165"/>
    </row>
    <row r="1139" s="151" customFormat="1" ht="15.95" hidden="1" customHeight="1" spans="1:5">
      <c r="A1139" s="65" t="s">
        <v>956</v>
      </c>
      <c r="B1139" s="171"/>
      <c r="C1139" s="171"/>
      <c r="D1139" s="171"/>
      <c r="E1139" s="165"/>
    </row>
    <row r="1140" s="151" customFormat="1" ht="15.95" hidden="1" customHeight="1" spans="1:5">
      <c r="A1140" s="65" t="s">
        <v>957</v>
      </c>
      <c r="B1140" s="171"/>
      <c r="C1140" s="171"/>
      <c r="D1140" s="171"/>
      <c r="E1140" s="165"/>
    </row>
    <row r="1141" s="151" customFormat="1" ht="15.95" hidden="1" customHeight="1" spans="1:5">
      <c r="A1141" s="63" t="s">
        <v>958</v>
      </c>
      <c r="B1141" s="171"/>
      <c r="C1141" s="171"/>
      <c r="D1141" s="171"/>
      <c r="E1141" s="165"/>
    </row>
    <row r="1142" s="151" customFormat="1" ht="15.95" hidden="1" customHeight="1" spans="1:5">
      <c r="A1142" s="65" t="s">
        <v>959</v>
      </c>
      <c r="B1142" s="174"/>
      <c r="C1142" s="174"/>
      <c r="D1142" s="174"/>
      <c r="E1142" s="165"/>
    </row>
    <row r="1143" s="151" customFormat="1" ht="15.95" hidden="1" customHeight="1" spans="1:5">
      <c r="A1143" s="65" t="s">
        <v>960</v>
      </c>
      <c r="B1143" s="174"/>
      <c r="C1143" s="174"/>
      <c r="D1143" s="174"/>
      <c r="E1143" s="165"/>
    </row>
    <row r="1144" s="151" customFormat="1" ht="15.95" hidden="1" customHeight="1" spans="1:5">
      <c r="A1144" s="179" t="s">
        <v>961</v>
      </c>
      <c r="B1144" s="174">
        <v>0</v>
      </c>
      <c r="C1144" s="174"/>
      <c r="D1144" s="174"/>
      <c r="E1144" s="165"/>
    </row>
    <row r="1145" s="151" customFormat="1" ht="15.95" hidden="1" customHeight="1" spans="1:5">
      <c r="A1145" s="179" t="s">
        <v>962</v>
      </c>
      <c r="B1145" s="174"/>
      <c r="C1145" s="174"/>
      <c r="D1145" s="174"/>
      <c r="E1145" s="165"/>
    </row>
    <row r="1146" s="151" customFormat="1" ht="15.95" hidden="1" customHeight="1" spans="1:5">
      <c r="A1146" s="179" t="s">
        <v>963</v>
      </c>
      <c r="B1146" s="174"/>
      <c r="C1146" s="174"/>
      <c r="D1146" s="174"/>
      <c r="E1146" s="165"/>
    </row>
    <row r="1147" s="151" customFormat="1" ht="15.95" hidden="1" customHeight="1" spans="1:5">
      <c r="A1147" s="179" t="s">
        <v>964</v>
      </c>
      <c r="B1147" s="174"/>
      <c r="C1147" s="174"/>
      <c r="D1147" s="174"/>
      <c r="E1147" s="165"/>
    </row>
    <row r="1148" s="151" customFormat="1" ht="15.95" hidden="1" customHeight="1" spans="1:5">
      <c r="A1148" s="179" t="s">
        <v>965</v>
      </c>
      <c r="B1148" s="174"/>
      <c r="C1148" s="174"/>
      <c r="D1148" s="174"/>
      <c r="E1148" s="165"/>
    </row>
    <row r="1149" s="151" customFormat="1" ht="15.95" hidden="1" customHeight="1" spans="1:5">
      <c r="A1149" s="179" t="s">
        <v>966</v>
      </c>
      <c r="B1149" s="174"/>
      <c r="C1149" s="174"/>
      <c r="D1149" s="174"/>
      <c r="E1149" s="165"/>
    </row>
    <row r="1150" s="151" customFormat="1" ht="15.95" hidden="1" customHeight="1" spans="1:5">
      <c r="A1150" s="179" t="s">
        <v>967</v>
      </c>
      <c r="B1150" s="174"/>
      <c r="C1150" s="174"/>
      <c r="D1150" s="174"/>
      <c r="E1150" s="165"/>
    </row>
    <row r="1151" s="151" customFormat="1" ht="15.95" hidden="1" customHeight="1" spans="1:5">
      <c r="A1151" s="179" t="s">
        <v>968</v>
      </c>
      <c r="B1151" s="174"/>
      <c r="C1151" s="174"/>
      <c r="D1151" s="174"/>
      <c r="E1151" s="165"/>
    </row>
    <row r="1152" s="151" customFormat="1" ht="17.1" hidden="1" customHeight="1" spans="1:5">
      <c r="A1152" s="179" t="s">
        <v>969</v>
      </c>
      <c r="B1152" s="174"/>
      <c r="C1152" s="174"/>
      <c r="D1152" s="174"/>
      <c r="E1152" s="165"/>
    </row>
    <row r="1153" s="151" customFormat="1" ht="15.95" hidden="1" customHeight="1" spans="1:5">
      <c r="A1153" s="179" t="s">
        <v>970</v>
      </c>
      <c r="B1153" s="174"/>
      <c r="C1153" s="174"/>
      <c r="D1153" s="174"/>
      <c r="E1153" s="165"/>
    </row>
    <row r="1154" s="151" customFormat="1" ht="20.1" customHeight="1" spans="1:5">
      <c r="A1154" s="179" t="s">
        <v>971</v>
      </c>
      <c r="B1154" s="174">
        <v>15393</v>
      </c>
      <c r="C1154" s="174">
        <f>C1155</f>
        <v>4983</v>
      </c>
      <c r="D1154" s="174">
        <f>D1155</f>
        <v>4906</v>
      </c>
      <c r="E1154" s="165">
        <f t="shared" ref="E1154:E1156" si="76">D1154/B1154</f>
        <v>0.318716299616709</v>
      </c>
    </row>
    <row r="1155" s="151" customFormat="1" ht="15.95" customHeight="1" spans="1:5">
      <c r="A1155" s="179" t="s">
        <v>972</v>
      </c>
      <c r="B1155" s="174">
        <v>15168</v>
      </c>
      <c r="C1155" s="174">
        <v>4983</v>
      </c>
      <c r="D1155" s="174">
        <f>SUM(D1156:D1196)</f>
        <v>4906</v>
      </c>
      <c r="E1155" s="165">
        <f t="shared" si="76"/>
        <v>0.323444092827004</v>
      </c>
    </row>
    <row r="1156" s="151" customFormat="1" ht="15.95" customHeight="1" spans="1:5">
      <c r="A1156" s="173" t="s">
        <v>107</v>
      </c>
      <c r="B1156" s="171">
        <v>1137</v>
      </c>
      <c r="C1156" s="171">
        <v>1222</v>
      </c>
      <c r="D1156" s="171">
        <f>1222-55</f>
        <v>1167</v>
      </c>
      <c r="E1156" s="172">
        <f t="shared" si="76"/>
        <v>1.02638522427441</v>
      </c>
    </row>
    <row r="1157" s="151" customFormat="1" ht="15.95" hidden="1" customHeight="1" spans="1:5">
      <c r="A1157" s="173" t="s">
        <v>108</v>
      </c>
      <c r="B1157" s="171">
        <v>0</v>
      </c>
      <c r="C1157" s="171"/>
      <c r="D1157" s="171"/>
      <c r="E1157" s="172"/>
    </row>
    <row r="1158" s="151" customFormat="1" ht="15.95" hidden="1" customHeight="1" spans="1:5">
      <c r="A1158" s="176" t="s">
        <v>109</v>
      </c>
      <c r="B1158" s="178">
        <v>0</v>
      </c>
      <c r="C1158" s="178"/>
      <c r="D1158" s="178"/>
      <c r="E1158" s="172"/>
    </row>
    <row r="1159" s="151" customFormat="1" ht="15.95" hidden="1" customHeight="1" spans="1:5">
      <c r="A1159" s="173" t="s">
        <v>973</v>
      </c>
      <c r="B1159" s="171">
        <v>0</v>
      </c>
      <c r="C1159" s="171"/>
      <c r="D1159" s="171"/>
      <c r="E1159" s="172"/>
    </row>
    <row r="1160" s="151" customFormat="1" ht="15.95" customHeight="1" spans="1:5">
      <c r="A1160" s="173" t="s">
        <v>974</v>
      </c>
      <c r="B1160" s="171">
        <v>11872</v>
      </c>
      <c r="C1160" s="171">
        <v>3563</v>
      </c>
      <c r="D1160" s="171">
        <v>3563</v>
      </c>
      <c r="E1160" s="172">
        <f>D1160/B1160</f>
        <v>0.300117924528302</v>
      </c>
    </row>
    <row r="1161" s="151" customFormat="1" ht="15.95" hidden="1" customHeight="1" spans="1:5">
      <c r="A1161" s="173" t="s">
        <v>975</v>
      </c>
      <c r="B1161" s="171">
        <v>0</v>
      </c>
      <c r="C1161" s="171"/>
      <c r="D1161" s="171"/>
      <c r="E1161" s="172"/>
    </row>
    <row r="1162" s="151" customFormat="1" ht="15.95" hidden="1" customHeight="1" spans="1:5">
      <c r="A1162" s="173" t="s">
        <v>976</v>
      </c>
      <c r="B1162" s="171">
        <v>0</v>
      </c>
      <c r="C1162" s="171"/>
      <c r="D1162" s="171"/>
      <c r="E1162" s="172"/>
    </row>
    <row r="1163" s="151" customFormat="1" ht="15.95" hidden="1" customHeight="1" spans="1:5">
      <c r="A1163" s="173" t="s">
        <v>977</v>
      </c>
      <c r="B1163" s="171">
        <v>0</v>
      </c>
      <c r="C1163" s="171"/>
      <c r="D1163" s="171"/>
      <c r="E1163" s="172"/>
    </row>
    <row r="1164" s="151" customFormat="1" ht="15.95" hidden="1" customHeight="1" spans="1:5">
      <c r="A1164" s="173" t="s">
        <v>978</v>
      </c>
      <c r="B1164" s="171">
        <v>0</v>
      </c>
      <c r="C1164" s="171"/>
      <c r="D1164" s="171"/>
      <c r="E1164" s="172"/>
    </row>
    <row r="1165" s="151" customFormat="1" ht="15.95" hidden="1" customHeight="1" spans="1:5">
      <c r="A1165" s="173" t="s">
        <v>979</v>
      </c>
      <c r="B1165" s="171">
        <v>0</v>
      </c>
      <c r="C1165" s="171"/>
      <c r="D1165" s="171"/>
      <c r="E1165" s="172"/>
    </row>
    <row r="1166" s="151" customFormat="1" ht="15.95" hidden="1" customHeight="1" spans="1:5">
      <c r="A1166" s="173" t="s">
        <v>980</v>
      </c>
      <c r="B1166" s="171">
        <v>0</v>
      </c>
      <c r="C1166" s="171"/>
      <c r="D1166" s="171"/>
      <c r="E1166" s="172"/>
    </row>
    <row r="1167" s="151" customFormat="1" ht="15.95" hidden="1" customHeight="1" spans="1:5">
      <c r="A1167" s="173" t="s">
        <v>981</v>
      </c>
      <c r="B1167" s="171">
        <v>0</v>
      </c>
      <c r="C1167" s="171"/>
      <c r="D1167" s="171"/>
      <c r="E1167" s="172"/>
    </row>
    <row r="1168" s="151" customFormat="1" ht="15.95" hidden="1" customHeight="1" spans="1:5">
      <c r="A1168" s="173" t="s">
        <v>982</v>
      </c>
      <c r="B1168" s="171">
        <v>0</v>
      </c>
      <c r="C1168" s="171"/>
      <c r="D1168" s="171"/>
      <c r="E1168" s="172"/>
    </row>
    <row r="1169" s="151" customFormat="1" hidden="1" customHeight="1" spans="1:5">
      <c r="A1169" s="173" t="s">
        <v>983</v>
      </c>
      <c r="B1169" s="171">
        <v>0</v>
      </c>
      <c r="C1169" s="171"/>
      <c r="D1169" s="171"/>
      <c r="E1169" s="172"/>
    </row>
    <row r="1170" s="151" customFormat="1" ht="15.95" hidden="1" customHeight="1" spans="1:5">
      <c r="A1170" s="173" t="s">
        <v>984</v>
      </c>
      <c r="B1170" s="171">
        <v>0</v>
      </c>
      <c r="C1170" s="171"/>
      <c r="D1170" s="171"/>
      <c r="E1170" s="172"/>
    </row>
    <row r="1171" s="151" customFormat="1" ht="21" hidden="1" customHeight="1" spans="1:5">
      <c r="A1171" s="173" t="s">
        <v>985</v>
      </c>
      <c r="B1171" s="171">
        <v>0</v>
      </c>
      <c r="C1171" s="171"/>
      <c r="D1171" s="171"/>
      <c r="E1171" s="172"/>
    </row>
    <row r="1172" s="151" customFormat="1" ht="15.95" hidden="1" customHeight="1" spans="1:5">
      <c r="A1172" s="173" t="s">
        <v>986</v>
      </c>
      <c r="B1172" s="171">
        <v>0</v>
      </c>
      <c r="C1172" s="171"/>
      <c r="D1172" s="171"/>
      <c r="E1172" s="172"/>
    </row>
    <row r="1173" s="151" customFormat="1" ht="15.95" hidden="1" customHeight="1" spans="1:5">
      <c r="A1173" s="173" t="s">
        <v>987</v>
      </c>
      <c r="B1173" s="171">
        <v>0</v>
      </c>
      <c r="C1173" s="171"/>
      <c r="D1173" s="171"/>
      <c r="E1173" s="172"/>
    </row>
    <row r="1174" s="151" customFormat="1" ht="15.95" hidden="1" customHeight="1" spans="1:5">
      <c r="A1174" s="176" t="s">
        <v>988</v>
      </c>
      <c r="B1174" s="178">
        <v>0</v>
      </c>
      <c r="C1174" s="178"/>
      <c r="D1174" s="178"/>
      <c r="E1174" s="172"/>
    </row>
    <row r="1175" s="151" customFormat="1" ht="15.95" hidden="1" customHeight="1" spans="1:5">
      <c r="A1175" s="176" t="s">
        <v>989</v>
      </c>
      <c r="B1175" s="178">
        <v>0</v>
      </c>
      <c r="C1175" s="178"/>
      <c r="D1175" s="178"/>
      <c r="E1175" s="172"/>
    </row>
    <row r="1176" s="151" customFormat="1" ht="15.95" hidden="1" customHeight="1" spans="1:5">
      <c r="A1176" s="173" t="s">
        <v>990</v>
      </c>
      <c r="B1176" s="171">
        <v>0</v>
      </c>
      <c r="C1176" s="171"/>
      <c r="D1176" s="171"/>
      <c r="E1176" s="172"/>
    </row>
    <row r="1177" s="151" customFormat="1" ht="15.95" hidden="1" customHeight="1" spans="1:5">
      <c r="A1177" s="173" t="s">
        <v>991</v>
      </c>
      <c r="B1177" s="171">
        <v>0</v>
      </c>
      <c r="C1177" s="171"/>
      <c r="D1177" s="171"/>
      <c r="E1177" s="172"/>
    </row>
    <row r="1178" s="151" customFormat="1" ht="15.95" hidden="1" customHeight="1" spans="1:5">
      <c r="A1178" s="173" t="s">
        <v>992</v>
      </c>
      <c r="B1178" s="171">
        <v>0</v>
      </c>
      <c r="C1178" s="171"/>
      <c r="D1178" s="171"/>
      <c r="E1178" s="172"/>
    </row>
    <row r="1179" s="151" customFormat="1" ht="15.95" hidden="1" customHeight="1" spans="1:5">
      <c r="A1179" s="173" t="s">
        <v>993</v>
      </c>
      <c r="B1179" s="171">
        <v>0</v>
      </c>
      <c r="C1179" s="171"/>
      <c r="D1179" s="171"/>
      <c r="E1179" s="172"/>
    </row>
    <row r="1180" s="151" customFormat="1" ht="15.95" customHeight="1" spans="1:5">
      <c r="A1180" s="173" t="s">
        <v>116</v>
      </c>
      <c r="B1180" s="171">
        <v>114</v>
      </c>
      <c r="C1180" s="171">
        <v>198</v>
      </c>
      <c r="D1180" s="171">
        <f>198-22</f>
        <v>176</v>
      </c>
      <c r="E1180" s="172">
        <f t="shared" ref="E1180:E1182" si="77">D1180/B1180</f>
        <v>1.54385964912281</v>
      </c>
    </row>
    <row r="1181" s="151" customFormat="1" ht="15.95" customHeight="1" spans="1:5">
      <c r="A1181" s="173" t="s">
        <v>994</v>
      </c>
      <c r="B1181" s="171">
        <v>2045</v>
      </c>
      <c r="C1181" s="171"/>
      <c r="D1181" s="171"/>
      <c r="E1181" s="172">
        <f t="shared" si="77"/>
        <v>0</v>
      </c>
    </row>
    <row r="1182" s="151" customFormat="1" ht="15.95" customHeight="1" spans="1:5">
      <c r="A1182" s="179" t="s">
        <v>995</v>
      </c>
      <c r="B1182" s="174">
        <v>225</v>
      </c>
      <c r="C1182" s="174">
        <v>0</v>
      </c>
      <c r="D1182" s="174">
        <v>0</v>
      </c>
      <c r="E1182" s="165">
        <f t="shared" si="77"/>
        <v>0</v>
      </c>
    </row>
    <row r="1183" s="151" customFormat="1" ht="15.95" hidden="1" customHeight="1" spans="1:5">
      <c r="A1183" s="173" t="s">
        <v>107</v>
      </c>
      <c r="B1183" s="171">
        <v>0</v>
      </c>
      <c r="C1183" s="171"/>
      <c r="D1183" s="171"/>
      <c r="E1183" s="165"/>
    </row>
    <row r="1184" s="151" customFormat="1" ht="15.95" hidden="1" customHeight="1" spans="1:5">
      <c r="A1184" s="173" t="s">
        <v>108</v>
      </c>
      <c r="B1184" s="171">
        <v>0</v>
      </c>
      <c r="C1184" s="171"/>
      <c r="D1184" s="171"/>
      <c r="E1184" s="165"/>
    </row>
    <row r="1185" s="151" customFormat="1" ht="15.95" hidden="1" customHeight="1" spans="1:5">
      <c r="A1185" s="173" t="s">
        <v>109</v>
      </c>
      <c r="B1185" s="171">
        <v>0</v>
      </c>
      <c r="C1185" s="171"/>
      <c r="D1185" s="171"/>
      <c r="E1185" s="165"/>
    </row>
    <row r="1186" s="151" customFormat="1" ht="15.95" hidden="1" customHeight="1" spans="1:5">
      <c r="A1186" s="176" t="s">
        <v>996</v>
      </c>
      <c r="B1186" s="178">
        <v>0</v>
      </c>
      <c r="C1186" s="178"/>
      <c r="D1186" s="178"/>
      <c r="E1186" s="165"/>
    </row>
    <row r="1187" s="151" customFormat="1" ht="15.95" hidden="1" customHeight="1" spans="1:5">
      <c r="A1187" s="173" t="s">
        <v>997</v>
      </c>
      <c r="B1187" s="171">
        <v>0</v>
      </c>
      <c r="C1187" s="171"/>
      <c r="D1187" s="171"/>
      <c r="E1187" s="165"/>
    </row>
    <row r="1188" s="151" customFormat="1" ht="15.95" hidden="1" customHeight="1" spans="1:5">
      <c r="A1188" s="173" t="s">
        <v>998</v>
      </c>
      <c r="B1188" s="171">
        <v>0</v>
      </c>
      <c r="C1188" s="171"/>
      <c r="D1188" s="171"/>
      <c r="E1188" s="165"/>
    </row>
    <row r="1189" s="151" customFormat="1" ht="15.95" hidden="1" customHeight="1" spans="1:5">
      <c r="A1189" s="173" t="s">
        <v>999</v>
      </c>
      <c r="B1189" s="171">
        <v>0</v>
      </c>
      <c r="C1189" s="171"/>
      <c r="D1189" s="171"/>
      <c r="E1189" s="165"/>
    </row>
    <row r="1190" s="151" customFormat="1" ht="15.95" hidden="1" customHeight="1" spans="1:5">
      <c r="A1190" s="176" t="s">
        <v>1000</v>
      </c>
      <c r="B1190" s="178">
        <v>0</v>
      </c>
      <c r="C1190" s="178"/>
      <c r="D1190" s="178"/>
      <c r="E1190" s="165"/>
    </row>
    <row r="1191" s="151" customFormat="1" ht="15.95" hidden="1" customHeight="1" spans="1:5">
      <c r="A1191" s="173" t="s">
        <v>1001</v>
      </c>
      <c r="B1191" s="171">
        <v>0</v>
      </c>
      <c r="C1191" s="171"/>
      <c r="D1191" s="171"/>
      <c r="E1191" s="165"/>
    </row>
    <row r="1192" s="151" customFormat="1" ht="15.95" hidden="1" customHeight="1" spans="1:5">
      <c r="A1192" s="173" t="s">
        <v>1002</v>
      </c>
      <c r="B1192" s="171">
        <v>0</v>
      </c>
      <c r="C1192" s="171"/>
      <c r="D1192" s="171"/>
      <c r="E1192" s="165"/>
    </row>
    <row r="1193" s="151" customFormat="1" ht="15.95" hidden="1" customHeight="1" spans="1:5">
      <c r="A1193" s="173" t="s">
        <v>1003</v>
      </c>
      <c r="B1193" s="171">
        <v>0</v>
      </c>
      <c r="C1193" s="171"/>
      <c r="D1193" s="171"/>
      <c r="E1193" s="165"/>
    </row>
    <row r="1194" s="151" customFormat="1" ht="15.95" hidden="1" customHeight="1" spans="1:5">
      <c r="A1194" s="176" t="s">
        <v>1004</v>
      </c>
      <c r="B1194" s="178">
        <v>0</v>
      </c>
      <c r="C1194" s="178"/>
      <c r="D1194" s="178"/>
      <c r="E1194" s="165"/>
    </row>
    <row r="1195" s="151" customFormat="1" ht="15.95" hidden="1" customHeight="1" spans="1:5">
      <c r="A1195" s="176" t="s">
        <v>1005</v>
      </c>
      <c r="B1195" s="178">
        <v>0</v>
      </c>
      <c r="C1195" s="178"/>
      <c r="D1195" s="178"/>
      <c r="E1195" s="165"/>
    </row>
    <row r="1196" s="151" customFormat="1" ht="15.95" customHeight="1" spans="1:5">
      <c r="A1196" s="173" t="s">
        <v>1006</v>
      </c>
      <c r="B1196" s="171">
        <v>225</v>
      </c>
      <c r="C1196" s="171"/>
      <c r="D1196" s="171"/>
      <c r="E1196" s="172">
        <f t="shared" ref="E1196:E1200" si="78">D1196/B1196</f>
        <v>0</v>
      </c>
    </row>
    <row r="1197" s="151" customFormat="1" hidden="1" customHeight="1" spans="1:5">
      <c r="A1197" s="179" t="s">
        <v>1007</v>
      </c>
      <c r="B1197" s="174">
        <v>0</v>
      </c>
      <c r="C1197" s="174">
        <v>0</v>
      </c>
      <c r="D1197" s="174">
        <v>0</v>
      </c>
      <c r="E1197" s="165"/>
    </row>
    <row r="1198" s="151" customFormat="1" hidden="1" customHeight="1" spans="1:5">
      <c r="A1198" s="173" t="s">
        <v>1008</v>
      </c>
      <c r="B1198" s="171"/>
      <c r="C1198" s="171"/>
      <c r="D1198" s="171"/>
      <c r="E1198" s="165"/>
    </row>
    <row r="1199" s="151" customFormat="1" ht="15.95" customHeight="1" spans="1:5">
      <c r="A1199" s="179" t="s">
        <v>1009</v>
      </c>
      <c r="B1199" s="174">
        <v>15429</v>
      </c>
      <c r="C1199" s="180">
        <f>C1200+C1212</f>
        <v>19245</v>
      </c>
      <c r="D1199" s="180">
        <f>D1200+D1212</f>
        <v>19241</v>
      </c>
      <c r="E1199" s="165">
        <f t="shared" si="78"/>
        <v>1.24706721109599</v>
      </c>
    </row>
    <row r="1200" s="151" customFormat="1" ht="15.95" customHeight="1" spans="1:5">
      <c r="A1200" s="179" t="s">
        <v>1010</v>
      </c>
      <c r="B1200" s="174">
        <v>2929</v>
      </c>
      <c r="C1200" s="180">
        <v>6249</v>
      </c>
      <c r="D1200" s="180">
        <v>6249</v>
      </c>
      <c r="E1200" s="165">
        <f t="shared" si="78"/>
        <v>2.13349265961079</v>
      </c>
    </row>
    <row r="1201" s="151" customFormat="1" ht="15.95" hidden="1" customHeight="1" spans="1:5">
      <c r="A1201" s="173" t="s">
        <v>1011</v>
      </c>
      <c r="B1201" s="171">
        <v>0</v>
      </c>
      <c r="C1201" s="171"/>
      <c r="D1201" s="171"/>
      <c r="E1201" s="165"/>
    </row>
    <row r="1202" s="151" customFormat="1" ht="15.95" hidden="1" customHeight="1" spans="1:5">
      <c r="A1202" s="173" t="s">
        <v>1012</v>
      </c>
      <c r="B1202" s="171">
        <v>0</v>
      </c>
      <c r="C1202" s="171"/>
      <c r="D1202" s="171"/>
      <c r="E1202" s="165"/>
    </row>
    <row r="1203" s="151" customFormat="1" ht="15.95" customHeight="1" spans="1:5">
      <c r="A1203" s="173" t="s">
        <v>1013</v>
      </c>
      <c r="B1203" s="171">
        <v>0</v>
      </c>
      <c r="C1203" s="171">
        <v>2944</v>
      </c>
      <c r="D1203" s="171">
        <v>2944</v>
      </c>
      <c r="E1203" s="172"/>
    </row>
    <row r="1204" s="151" customFormat="1" ht="18.95" hidden="1" customHeight="1" spans="1:5">
      <c r="A1204" s="173" t="s">
        <v>1014</v>
      </c>
      <c r="B1204" s="171">
        <v>0</v>
      </c>
      <c r="C1204" s="171"/>
      <c r="D1204" s="171"/>
      <c r="E1204" s="172"/>
    </row>
    <row r="1205" s="151" customFormat="1" ht="15.95" customHeight="1" spans="1:5">
      <c r="A1205" s="173" t="s">
        <v>1015</v>
      </c>
      <c r="B1205" s="171">
        <v>200</v>
      </c>
      <c r="C1205" s="171">
        <v>53</v>
      </c>
      <c r="D1205" s="171">
        <v>53</v>
      </c>
      <c r="E1205" s="172">
        <f t="shared" ref="E1205:E1208" si="79">D1205/B1205</f>
        <v>0.265</v>
      </c>
    </row>
    <row r="1206" s="151" customFormat="1" ht="15.95" customHeight="1" spans="1:5">
      <c r="A1206" s="173" t="s">
        <v>1016</v>
      </c>
      <c r="B1206" s="171">
        <v>349</v>
      </c>
      <c r="C1206" s="171">
        <v>1602</v>
      </c>
      <c r="D1206" s="171">
        <v>1602</v>
      </c>
      <c r="E1206" s="172">
        <f t="shared" si="79"/>
        <v>4.59025787965616</v>
      </c>
    </row>
    <row r="1207" s="151" customFormat="1" ht="15.95" customHeight="1" spans="1:5">
      <c r="A1207" s="173" t="s">
        <v>1017</v>
      </c>
      <c r="B1207" s="171">
        <v>4</v>
      </c>
      <c r="C1207" s="171">
        <v>5</v>
      </c>
      <c r="D1207" s="171">
        <v>5</v>
      </c>
      <c r="E1207" s="172">
        <f t="shared" si="79"/>
        <v>1.25</v>
      </c>
    </row>
    <row r="1208" s="151" customFormat="1" ht="15.95" customHeight="1" spans="1:5">
      <c r="A1208" s="173" t="s">
        <v>1018</v>
      </c>
      <c r="B1208" s="171">
        <v>902</v>
      </c>
      <c r="C1208" s="171">
        <v>1645</v>
      </c>
      <c r="D1208" s="171">
        <v>1645</v>
      </c>
      <c r="E1208" s="172">
        <f t="shared" si="79"/>
        <v>1.82372505543237</v>
      </c>
    </row>
    <row r="1209" s="151" customFormat="1" ht="15.95" hidden="1" customHeight="1" spans="1:5">
      <c r="A1209" s="173" t="s">
        <v>1019</v>
      </c>
      <c r="B1209" s="171">
        <v>0</v>
      </c>
      <c r="C1209" s="171"/>
      <c r="D1209" s="171"/>
      <c r="E1209" s="172"/>
    </row>
    <row r="1210" s="151" customFormat="1" ht="15.95" hidden="1" customHeight="1" spans="1:5">
      <c r="A1210" s="173" t="s">
        <v>1020</v>
      </c>
      <c r="B1210" s="171">
        <v>0</v>
      </c>
      <c r="C1210" s="171"/>
      <c r="D1210" s="171"/>
      <c r="E1210" s="172"/>
    </row>
    <row r="1211" s="151" customFormat="1" ht="15.95" customHeight="1" spans="1:5">
      <c r="A1211" s="173" t="s">
        <v>1021</v>
      </c>
      <c r="B1211" s="171">
        <v>1474</v>
      </c>
      <c r="C1211" s="171"/>
      <c r="D1211" s="171"/>
      <c r="E1211" s="172">
        <f t="shared" ref="E1211:E1213" si="80">D1211/B1211</f>
        <v>0</v>
      </c>
    </row>
    <row r="1212" s="151" customFormat="1" ht="15.95" customHeight="1" spans="1:5">
      <c r="A1212" s="179" t="s">
        <v>1022</v>
      </c>
      <c r="B1212" s="174">
        <v>12500</v>
      </c>
      <c r="C1212" s="174">
        <v>12996</v>
      </c>
      <c r="D1212" s="174">
        <f>D1213</f>
        <v>12992</v>
      </c>
      <c r="E1212" s="165">
        <f t="shared" si="80"/>
        <v>1.03936</v>
      </c>
    </row>
    <row r="1213" s="151" customFormat="1" ht="15.95" customHeight="1" spans="1:5">
      <c r="A1213" s="176" t="s">
        <v>1023</v>
      </c>
      <c r="B1213" s="178">
        <v>12500</v>
      </c>
      <c r="C1213" s="178">
        <v>12996</v>
      </c>
      <c r="D1213" s="178">
        <f>12996-4</f>
        <v>12992</v>
      </c>
      <c r="E1213" s="172">
        <f t="shared" si="80"/>
        <v>1.03936</v>
      </c>
    </row>
    <row r="1214" s="151" customFormat="1" ht="15.95" hidden="1" customHeight="1" spans="1:5">
      <c r="A1214" s="173" t="s">
        <v>1024</v>
      </c>
      <c r="B1214" s="171">
        <v>0</v>
      </c>
      <c r="C1214" s="171"/>
      <c r="D1214" s="171"/>
      <c r="E1214" s="165"/>
    </row>
    <row r="1215" s="151" customFormat="1" ht="15.95" hidden="1" customHeight="1" spans="1:5">
      <c r="A1215" s="173" t="s">
        <v>1025</v>
      </c>
      <c r="B1215" s="171">
        <v>0</v>
      </c>
      <c r="C1215" s="171"/>
      <c r="D1215" s="171"/>
      <c r="E1215" s="165"/>
    </row>
    <row r="1216" s="151" customFormat="1" ht="15.95" hidden="1" customHeight="1" spans="1:5">
      <c r="A1216" s="179" t="s">
        <v>1026</v>
      </c>
      <c r="B1216" s="174">
        <v>0</v>
      </c>
      <c r="C1216" s="174"/>
      <c r="D1216" s="174"/>
      <c r="E1216" s="165"/>
    </row>
    <row r="1217" s="151" customFormat="1" ht="18.95" hidden="1" customHeight="1" spans="1:5">
      <c r="A1217" s="173" t="s">
        <v>1027</v>
      </c>
      <c r="B1217" s="171"/>
      <c r="C1217" s="171"/>
      <c r="D1217" s="171"/>
      <c r="E1217" s="165"/>
    </row>
    <row r="1218" s="151" customFormat="1" ht="15.95" hidden="1" customHeight="1" spans="1:5">
      <c r="A1218" s="173" t="s">
        <v>1028</v>
      </c>
      <c r="B1218" s="171"/>
      <c r="C1218" s="171"/>
      <c r="D1218" s="171"/>
      <c r="E1218" s="165"/>
    </row>
    <row r="1219" s="151" customFormat="1" ht="15.95" hidden="1" customHeight="1" spans="1:5">
      <c r="A1219" s="176" t="s">
        <v>1029</v>
      </c>
      <c r="B1219" s="178"/>
      <c r="C1219" s="178"/>
      <c r="D1219" s="178"/>
      <c r="E1219" s="165"/>
    </row>
    <row r="1220" s="151" customFormat="1" ht="15.95" customHeight="1" spans="1:5">
      <c r="A1220" s="179" t="s">
        <v>1030</v>
      </c>
      <c r="B1220" s="174">
        <v>832</v>
      </c>
      <c r="C1220" s="174"/>
      <c r="D1220" s="174"/>
      <c r="E1220" s="165">
        <f>D1220/B1220</f>
        <v>0</v>
      </c>
    </row>
    <row r="1221" s="151" customFormat="1" ht="15.95" customHeight="1" spans="1:5">
      <c r="A1221" s="179" t="s">
        <v>1031</v>
      </c>
      <c r="B1221" s="174">
        <v>405</v>
      </c>
      <c r="C1221" s="174"/>
      <c r="D1221" s="174"/>
      <c r="E1221" s="165">
        <f>D1221/B1221</f>
        <v>0</v>
      </c>
    </row>
    <row r="1222" s="151" customFormat="1" ht="15.95" hidden="1" customHeight="1" spans="1:5">
      <c r="A1222" s="173" t="s">
        <v>107</v>
      </c>
      <c r="B1222" s="171"/>
      <c r="C1222" s="171"/>
      <c r="D1222" s="171"/>
      <c r="E1222" s="165"/>
    </row>
    <row r="1223" s="151" customFormat="1" ht="15.95" hidden="1" customHeight="1" spans="1:5">
      <c r="A1223" s="173" t="s">
        <v>108</v>
      </c>
      <c r="B1223" s="171"/>
      <c r="C1223" s="171"/>
      <c r="D1223" s="171"/>
      <c r="E1223" s="165"/>
    </row>
    <row r="1224" s="151" customFormat="1" ht="15.95" hidden="1" customHeight="1" spans="1:5">
      <c r="A1224" s="173" t="s">
        <v>109</v>
      </c>
      <c r="B1224" s="171"/>
      <c r="C1224" s="171"/>
      <c r="D1224" s="171"/>
      <c r="E1224" s="165"/>
    </row>
    <row r="1225" s="151" customFormat="1" ht="15.95" hidden="1" customHeight="1" spans="1:5">
      <c r="A1225" s="176" t="s">
        <v>1032</v>
      </c>
      <c r="B1225" s="178"/>
      <c r="C1225" s="178"/>
      <c r="D1225" s="178"/>
      <c r="E1225" s="165"/>
    </row>
    <row r="1226" s="151" customFormat="1" ht="15.95" hidden="1" customHeight="1" spans="1:5">
      <c r="A1226" s="173" t="s">
        <v>1033</v>
      </c>
      <c r="B1226" s="171"/>
      <c r="C1226" s="171"/>
      <c r="D1226" s="171"/>
      <c r="E1226" s="165"/>
    </row>
    <row r="1227" s="151" customFormat="1" ht="15.95" hidden="1" customHeight="1" spans="1:5">
      <c r="A1227" s="173" t="s">
        <v>1034</v>
      </c>
      <c r="B1227" s="171"/>
      <c r="C1227" s="171"/>
      <c r="D1227" s="171"/>
      <c r="E1227" s="165"/>
    </row>
    <row r="1228" s="151" customFormat="1" ht="15.95" hidden="1" customHeight="1" spans="1:5">
      <c r="A1228" s="173" t="s">
        <v>1035</v>
      </c>
      <c r="B1228" s="171"/>
      <c r="C1228" s="171"/>
      <c r="D1228" s="171"/>
      <c r="E1228" s="165"/>
    </row>
    <row r="1229" s="151" customFormat="1" ht="15.95" hidden="1" customHeight="1" spans="1:5">
      <c r="A1229" s="173" t="s">
        <v>1036</v>
      </c>
      <c r="B1229" s="171"/>
      <c r="C1229" s="171"/>
      <c r="D1229" s="171"/>
      <c r="E1229" s="165"/>
    </row>
    <row r="1230" s="151" customFormat="1" ht="15.95" hidden="1" customHeight="1" spans="1:5">
      <c r="A1230" s="173" t="s">
        <v>1037</v>
      </c>
      <c r="B1230" s="171"/>
      <c r="C1230" s="171"/>
      <c r="D1230" s="171"/>
      <c r="E1230" s="165"/>
    </row>
    <row r="1231" s="151" customFormat="1" ht="15.95" hidden="1" customHeight="1" spans="1:5">
      <c r="A1231" s="173" t="s">
        <v>1038</v>
      </c>
      <c r="B1231" s="171"/>
      <c r="C1231" s="171"/>
      <c r="D1231" s="171"/>
      <c r="E1231" s="165"/>
    </row>
    <row r="1232" s="151" customFormat="1" ht="15.95" hidden="1" customHeight="1" spans="1:5">
      <c r="A1232" s="173" t="s">
        <v>1039</v>
      </c>
      <c r="B1232" s="171"/>
      <c r="C1232" s="171"/>
      <c r="D1232" s="171"/>
      <c r="E1232" s="165"/>
    </row>
    <row r="1233" s="151" customFormat="1" ht="15.95" hidden="1" customHeight="1" spans="1:5">
      <c r="A1233" s="173" t="s">
        <v>1040</v>
      </c>
      <c r="B1233" s="171"/>
      <c r="C1233" s="171"/>
      <c r="D1233" s="171"/>
      <c r="E1233" s="165"/>
    </row>
    <row r="1234" s="151" customFormat="1" ht="15.95" hidden="1" customHeight="1" spans="1:5">
      <c r="A1234" s="173" t="s">
        <v>1041</v>
      </c>
      <c r="B1234" s="171"/>
      <c r="C1234" s="171"/>
      <c r="D1234" s="171"/>
      <c r="E1234" s="165"/>
    </row>
    <row r="1235" s="151" customFormat="1" ht="15.95" hidden="1" customHeight="1" spans="1:5">
      <c r="A1235" s="173" t="s">
        <v>1042</v>
      </c>
      <c r="B1235" s="171"/>
      <c r="C1235" s="171"/>
      <c r="D1235" s="171"/>
      <c r="E1235" s="165"/>
    </row>
    <row r="1236" s="151" customFormat="1" ht="15.95" hidden="1" customHeight="1" spans="1:5">
      <c r="A1236" s="173" t="s">
        <v>1043</v>
      </c>
      <c r="B1236" s="171"/>
      <c r="C1236" s="171"/>
      <c r="D1236" s="171"/>
      <c r="E1236" s="165"/>
    </row>
    <row r="1237" s="151" customFormat="1" ht="15.95" hidden="1" customHeight="1" spans="1:5">
      <c r="A1237" s="173" t="s">
        <v>116</v>
      </c>
      <c r="B1237" s="171"/>
      <c r="C1237" s="171"/>
      <c r="D1237" s="171"/>
      <c r="E1237" s="165"/>
    </row>
    <row r="1238" s="151" customFormat="1" ht="15.95" customHeight="1" spans="1:5">
      <c r="A1238" s="176" t="s">
        <v>1044</v>
      </c>
      <c r="B1238" s="178">
        <v>405</v>
      </c>
      <c r="C1238" s="178"/>
      <c r="D1238" s="178"/>
      <c r="E1238" s="172">
        <f>D1238/B1238</f>
        <v>0</v>
      </c>
    </row>
    <row r="1239" s="151" customFormat="1" ht="15.95" hidden="1" customHeight="1" spans="1:5">
      <c r="A1239" s="166" t="s">
        <v>1045</v>
      </c>
      <c r="B1239" s="167">
        <v>0</v>
      </c>
      <c r="C1239" s="167"/>
      <c r="D1239" s="167"/>
      <c r="E1239" s="165"/>
    </row>
    <row r="1240" s="151" customFormat="1" ht="15.95" hidden="1" customHeight="1" spans="1:5">
      <c r="A1240" s="173" t="s">
        <v>1046</v>
      </c>
      <c r="B1240" s="171"/>
      <c r="C1240" s="171"/>
      <c r="D1240" s="171"/>
      <c r="E1240" s="165"/>
    </row>
    <row r="1241" s="151" customFormat="1" ht="15.95" hidden="1" customHeight="1" spans="1:5">
      <c r="A1241" s="173" t="s">
        <v>1047</v>
      </c>
      <c r="B1241" s="171"/>
      <c r="C1241" s="171"/>
      <c r="D1241" s="171"/>
      <c r="E1241" s="165"/>
    </row>
    <row r="1242" s="151" customFormat="1" ht="15.95" hidden="1" customHeight="1" spans="1:5">
      <c r="A1242" s="173" t="s">
        <v>1048</v>
      </c>
      <c r="B1242" s="171"/>
      <c r="C1242" s="171"/>
      <c r="D1242" s="171"/>
      <c r="E1242" s="165"/>
    </row>
    <row r="1243" s="151" customFormat="1" ht="15.95" hidden="1" customHeight="1" spans="1:5">
      <c r="A1243" s="173" t="s">
        <v>1049</v>
      </c>
      <c r="B1243" s="171"/>
      <c r="C1243" s="171"/>
      <c r="D1243" s="171"/>
      <c r="E1243" s="165"/>
    </row>
    <row r="1244" s="151" customFormat="1" ht="15.95" hidden="1" customHeight="1" spans="1:5">
      <c r="A1244" s="173" t="s">
        <v>1050</v>
      </c>
      <c r="B1244" s="171"/>
      <c r="C1244" s="171"/>
      <c r="D1244" s="171"/>
      <c r="E1244" s="165"/>
    </row>
    <row r="1245" s="151" customFormat="1" ht="15.95" hidden="1" customHeight="1" spans="1:5">
      <c r="A1245" s="173" t="s">
        <v>1051</v>
      </c>
      <c r="B1245" s="171"/>
      <c r="C1245" s="171"/>
      <c r="D1245" s="171"/>
      <c r="E1245" s="165"/>
    </row>
    <row r="1246" s="151" customFormat="1" ht="15.95" customHeight="1" spans="1:5">
      <c r="A1246" s="179" t="s">
        <v>1052</v>
      </c>
      <c r="B1246" s="174">
        <v>832</v>
      </c>
      <c r="C1246" s="174"/>
      <c r="D1246" s="174"/>
      <c r="E1246" s="165">
        <f>D1246/B1246</f>
        <v>0</v>
      </c>
    </row>
    <row r="1247" s="151" customFormat="1" ht="15.95" hidden="1" customHeight="1" spans="1:5">
      <c r="A1247" s="173" t="s">
        <v>1053</v>
      </c>
      <c r="B1247" s="171">
        <v>0</v>
      </c>
      <c r="C1247" s="171"/>
      <c r="D1247" s="171"/>
      <c r="E1247" s="165"/>
    </row>
    <row r="1248" s="151" customFormat="1" ht="15.95" hidden="1" customHeight="1" spans="1:5">
      <c r="A1248" s="173" t="s">
        <v>1054</v>
      </c>
      <c r="B1248" s="171">
        <v>0</v>
      </c>
      <c r="C1248" s="171"/>
      <c r="D1248" s="171"/>
      <c r="E1248" s="165"/>
    </row>
    <row r="1249" s="151" customFormat="1" ht="15.95" hidden="1" customHeight="1" spans="1:5">
      <c r="A1249" s="173" t="s">
        <v>1055</v>
      </c>
      <c r="B1249" s="171">
        <v>0</v>
      </c>
      <c r="C1249" s="171"/>
      <c r="D1249" s="171"/>
      <c r="E1249" s="165"/>
    </row>
    <row r="1250" s="151" customFormat="1" ht="15.95" hidden="1" customHeight="1" spans="1:5">
      <c r="A1250" s="173" t="s">
        <v>1056</v>
      </c>
      <c r="B1250" s="171">
        <v>0</v>
      </c>
      <c r="C1250" s="171"/>
      <c r="D1250" s="171"/>
      <c r="E1250" s="165"/>
    </row>
    <row r="1251" s="151" customFormat="1" ht="15.95" customHeight="1" spans="1:5">
      <c r="A1251" s="176" t="s">
        <v>1057</v>
      </c>
      <c r="B1251" s="178">
        <v>832</v>
      </c>
      <c r="C1251" s="178"/>
      <c r="D1251" s="178"/>
      <c r="E1251" s="172">
        <f>D1251/B1251</f>
        <v>0</v>
      </c>
    </row>
    <row r="1252" s="151" customFormat="1" ht="15.95" hidden="1" customHeight="1" spans="1:5">
      <c r="A1252" s="179" t="s">
        <v>1058</v>
      </c>
      <c r="B1252" s="174">
        <v>0</v>
      </c>
      <c r="C1252" s="174"/>
      <c r="D1252" s="174"/>
      <c r="E1252" s="165"/>
    </row>
    <row r="1253" s="151" customFormat="1" ht="15.95" hidden="1" customHeight="1" spans="1:5">
      <c r="A1253" s="173" t="s">
        <v>1059</v>
      </c>
      <c r="B1253" s="171"/>
      <c r="C1253" s="171"/>
      <c r="D1253" s="171"/>
      <c r="E1253" s="165"/>
    </row>
    <row r="1254" s="151" customFormat="1" ht="15.95" hidden="1" customHeight="1" spans="1:5">
      <c r="A1254" s="173" t="s">
        <v>1060</v>
      </c>
      <c r="B1254" s="171"/>
      <c r="C1254" s="171"/>
      <c r="D1254" s="171"/>
      <c r="E1254" s="165"/>
    </row>
    <row r="1255" s="151" customFormat="1" ht="15.95" hidden="1" customHeight="1" spans="1:5">
      <c r="A1255" s="173" t="s">
        <v>1061</v>
      </c>
      <c r="B1255" s="171"/>
      <c r="C1255" s="171"/>
      <c r="D1255" s="171"/>
      <c r="E1255" s="165"/>
    </row>
    <row r="1256" s="151" customFormat="1" ht="15.95" hidden="1" customHeight="1" spans="1:5">
      <c r="A1256" s="173" t="s">
        <v>1062</v>
      </c>
      <c r="B1256" s="171"/>
      <c r="C1256" s="171"/>
      <c r="D1256" s="171"/>
      <c r="E1256" s="165"/>
    </row>
    <row r="1257" s="151" customFormat="1" ht="15.95" hidden="1" customHeight="1" spans="1:5">
      <c r="A1257" s="176" t="s">
        <v>1063</v>
      </c>
      <c r="B1257" s="178"/>
      <c r="C1257" s="178"/>
      <c r="D1257" s="178"/>
      <c r="E1257" s="165"/>
    </row>
    <row r="1258" s="151" customFormat="1" ht="15.95" hidden="1" customHeight="1" spans="1:5">
      <c r="A1258" s="173" t="s">
        <v>1064</v>
      </c>
      <c r="B1258" s="171"/>
      <c r="C1258" s="171"/>
      <c r="D1258" s="171"/>
      <c r="E1258" s="165"/>
    </row>
    <row r="1259" s="151" customFormat="1" ht="15.95" hidden="1" customHeight="1" spans="1:5">
      <c r="A1259" s="173" t="s">
        <v>1065</v>
      </c>
      <c r="B1259" s="171"/>
      <c r="C1259" s="171"/>
      <c r="D1259" s="171"/>
      <c r="E1259" s="165"/>
    </row>
    <row r="1260" s="151" customFormat="1" ht="15.95" hidden="1" customHeight="1" spans="1:5">
      <c r="A1260" s="173" t="s">
        <v>1066</v>
      </c>
      <c r="B1260" s="171"/>
      <c r="C1260" s="171"/>
      <c r="D1260" s="171"/>
      <c r="E1260" s="165"/>
    </row>
    <row r="1261" s="151" customFormat="1" ht="15.95" hidden="1" customHeight="1" spans="1:5">
      <c r="A1261" s="173" t="s">
        <v>1067</v>
      </c>
      <c r="B1261" s="171"/>
      <c r="C1261" s="171"/>
      <c r="D1261" s="171"/>
      <c r="E1261" s="165"/>
    </row>
    <row r="1262" s="151" customFormat="1" ht="15.95" hidden="1" customHeight="1" spans="1:5">
      <c r="A1262" s="173" t="s">
        <v>1068</v>
      </c>
      <c r="B1262" s="171"/>
      <c r="C1262" s="171"/>
      <c r="D1262" s="171"/>
      <c r="E1262" s="165"/>
    </row>
    <row r="1263" s="151" customFormat="1" ht="15.95" hidden="1" customHeight="1" spans="1:5">
      <c r="A1263" s="173" t="s">
        <v>1069</v>
      </c>
      <c r="B1263" s="171"/>
      <c r="C1263" s="171"/>
      <c r="D1263" s="171"/>
      <c r="E1263" s="165"/>
    </row>
    <row r="1264" s="151" customFormat="1" ht="15.95" hidden="1" customHeight="1" spans="1:5">
      <c r="A1264" s="173" t="s">
        <v>1070</v>
      </c>
      <c r="B1264" s="171"/>
      <c r="C1264" s="171"/>
      <c r="D1264" s="171"/>
      <c r="E1264" s="165"/>
    </row>
    <row r="1265" s="151" customFormat="1" ht="21" customHeight="1" spans="1:5">
      <c r="A1265" s="166" t="s">
        <v>1071</v>
      </c>
      <c r="B1265" s="167">
        <v>2134</v>
      </c>
      <c r="C1265" s="168">
        <f>C1266+C1278+C1299</f>
        <v>1907</v>
      </c>
      <c r="D1265" s="168">
        <f>D1266+D1278+D1299</f>
        <v>2667</v>
      </c>
      <c r="E1265" s="165">
        <f t="shared" ref="E1265:E1267" si="81">D1265/B1265</f>
        <v>1.24976569821931</v>
      </c>
    </row>
    <row r="1266" s="151" customFormat="1" ht="15.95" customHeight="1" spans="1:5">
      <c r="A1266" s="179" t="s">
        <v>1072</v>
      </c>
      <c r="B1266" s="174">
        <v>1237</v>
      </c>
      <c r="C1266" s="180">
        <v>1080</v>
      </c>
      <c r="D1266" s="180">
        <f>SUM(D1267:D1277)</f>
        <v>1048</v>
      </c>
      <c r="E1266" s="165">
        <f t="shared" si="81"/>
        <v>0.847210994341148</v>
      </c>
    </row>
    <row r="1267" s="151" customFormat="1" ht="15.95" customHeight="1" spans="1:5">
      <c r="A1267" s="173" t="s">
        <v>107</v>
      </c>
      <c r="B1267" s="171">
        <v>297</v>
      </c>
      <c r="C1267" s="171">
        <v>335</v>
      </c>
      <c r="D1267" s="171">
        <v>335</v>
      </c>
      <c r="E1267" s="172">
        <f t="shared" si="81"/>
        <v>1.12794612794613</v>
      </c>
    </row>
    <row r="1268" s="151" customFormat="1" ht="15.95" hidden="1" customHeight="1" spans="1:5">
      <c r="A1268" s="173" t="s">
        <v>108</v>
      </c>
      <c r="B1268" s="171"/>
      <c r="C1268" s="171"/>
      <c r="D1268" s="171"/>
      <c r="E1268" s="172"/>
    </row>
    <row r="1269" s="151" customFormat="1" ht="15.95" hidden="1" customHeight="1" spans="1:5">
      <c r="A1269" s="173" t="s">
        <v>109</v>
      </c>
      <c r="B1269" s="171"/>
      <c r="C1269" s="171"/>
      <c r="D1269" s="171"/>
      <c r="E1269" s="172"/>
    </row>
    <row r="1270" s="151" customFormat="1" ht="15.95" customHeight="1" spans="1:5">
      <c r="A1270" s="173" t="s">
        <v>1073</v>
      </c>
      <c r="B1270" s="171">
        <v>88</v>
      </c>
      <c r="C1270" s="171">
        <v>143</v>
      </c>
      <c r="D1270" s="171">
        <v>143</v>
      </c>
      <c r="E1270" s="172">
        <f>D1270/B1270</f>
        <v>1.625</v>
      </c>
    </row>
    <row r="1271" s="151" customFormat="1" ht="15.95" hidden="1" customHeight="1" spans="1:5">
      <c r="A1271" s="173" t="s">
        <v>1074</v>
      </c>
      <c r="B1271" s="171"/>
      <c r="C1271" s="171"/>
      <c r="D1271" s="171"/>
      <c r="E1271" s="172"/>
    </row>
    <row r="1272" s="151" customFormat="1" ht="15.95" customHeight="1" spans="1:5">
      <c r="A1272" s="173" t="s">
        <v>1075</v>
      </c>
      <c r="B1272" s="171"/>
      <c r="C1272" s="171">
        <v>500</v>
      </c>
      <c r="D1272" s="171">
        <v>500</v>
      </c>
      <c r="E1272" s="172"/>
    </row>
    <row r="1273" s="151" customFormat="1" ht="15.95" hidden="1" customHeight="1" spans="1:5">
      <c r="A1273" s="173" t="s">
        <v>1076</v>
      </c>
      <c r="B1273" s="171"/>
      <c r="C1273" s="171"/>
      <c r="D1273" s="171"/>
      <c r="E1273" s="172"/>
    </row>
    <row r="1274" s="151" customFormat="1" ht="15.95" hidden="1" customHeight="1" spans="1:5">
      <c r="A1274" s="173" t="s">
        <v>1077</v>
      </c>
      <c r="B1274" s="171"/>
      <c r="C1274" s="171"/>
      <c r="D1274" s="171"/>
      <c r="E1274" s="172"/>
    </row>
    <row r="1275" s="151" customFormat="1" ht="15.95" hidden="1" customHeight="1" spans="1:5">
      <c r="A1275" s="173" t="s">
        <v>1078</v>
      </c>
      <c r="B1275" s="171"/>
      <c r="C1275" s="171"/>
      <c r="D1275" s="171"/>
      <c r="E1275" s="172"/>
    </row>
    <row r="1276" s="151" customFormat="1" ht="15.95" customHeight="1" spans="1:5">
      <c r="A1276" s="173" t="s">
        <v>116</v>
      </c>
      <c r="B1276" s="171">
        <v>88</v>
      </c>
      <c r="C1276" s="171">
        <v>102</v>
      </c>
      <c r="D1276" s="171">
        <f>102-32</f>
        <v>70</v>
      </c>
      <c r="E1276" s="172">
        <f t="shared" ref="E1276:E1279" si="82">D1276/B1276</f>
        <v>0.795454545454545</v>
      </c>
    </row>
    <row r="1277" s="151" customFormat="1" ht="15.95" customHeight="1" spans="1:5">
      <c r="A1277" s="173" t="s">
        <v>1079</v>
      </c>
      <c r="B1277" s="171">
        <v>764</v>
      </c>
      <c r="C1277" s="171"/>
      <c r="D1277" s="171"/>
      <c r="E1277" s="172">
        <f t="shared" si="82"/>
        <v>0</v>
      </c>
    </row>
    <row r="1278" s="151" customFormat="1" ht="15.95" customHeight="1" spans="1:5">
      <c r="A1278" s="179" t="s">
        <v>1080</v>
      </c>
      <c r="B1278" s="174">
        <v>745</v>
      </c>
      <c r="C1278" s="174">
        <v>688</v>
      </c>
      <c r="D1278" s="174">
        <f>688+800</f>
        <v>1488</v>
      </c>
      <c r="E1278" s="165">
        <f t="shared" si="82"/>
        <v>1.99731543624161</v>
      </c>
    </row>
    <row r="1279" s="151" customFormat="1" ht="15.95" customHeight="1" spans="1:5">
      <c r="A1279" s="176" t="s">
        <v>107</v>
      </c>
      <c r="B1279" s="178">
        <v>176</v>
      </c>
      <c r="C1279" s="178">
        <v>448</v>
      </c>
      <c r="D1279" s="178">
        <v>448</v>
      </c>
      <c r="E1279" s="172">
        <f t="shared" si="82"/>
        <v>2.54545454545455</v>
      </c>
    </row>
    <row r="1280" s="151" customFormat="1" ht="15.95" hidden="1" customHeight="1" spans="1:5">
      <c r="A1280" s="173" t="s">
        <v>108</v>
      </c>
      <c r="B1280" s="171">
        <v>0</v>
      </c>
      <c r="C1280" s="171"/>
      <c r="D1280" s="171"/>
      <c r="E1280" s="172"/>
    </row>
    <row r="1281" s="151" customFormat="1" ht="15.95" hidden="1" customHeight="1" spans="1:5">
      <c r="A1281" s="173" t="s">
        <v>109</v>
      </c>
      <c r="B1281" s="171">
        <v>0</v>
      </c>
      <c r="C1281" s="171"/>
      <c r="D1281" s="171"/>
      <c r="E1281" s="172"/>
    </row>
    <row r="1282" s="151" customFormat="1" ht="15.95" hidden="1" customHeight="1" spans="1:5">
      <c r="A1282" s="173" t="s">
        <v>1081</v>
      </c>
      <c r="B1282" s="171">
        <v>0</v>
      </c>
      <c r="C1282" s="171"/>
      <c r="D1282" s="171"/>
      <c r="E1282" s="172"/>
    </row>
    <row r="1283" s="151" customFormat="1" ht="15.95" hidden="1" customHeight="1" spans="1:5">
      <c r="A1283" s="176" t="s">
        <v>116</v>
      </c>
      <c r="B1283" s="178">
        <v>0</v>
      </c>
      <c r="C1283" s="178"/>
      <c r="D1283" s="178"/>
      <c r="E1283" s="172"/>
    </row>
    <row r="1284" s="151" customFormat="1" ht="15.95" customHeight="1" spans="1:5">
      <c r="A1284" s="173" t="s">
        <v>1082</v>
      </c>
      <c r="B1284" s="171">
        <v>569</v>
      </c>
      <c r="C1284" s="171">
        <v>240</v>
      </c>
      <c r="D1284" s="171">
        <f>240+800</f>
        <v>1040</v>
      </c>
      <c r="E1284" s="172">
        <f>D1284/B1284</f>
        <v>1.82776801405975</v>
      </c>
    </row>
    <row r="1285" s="151" customFormat="1" ht="15.95" hidden="1" customHeight="1" spans="1:5">
      <c r="A1285" s="63" t="s">
        <v>1083</v>
      </c>
      <c r="B1285" s="174"/>
      <c r="C1285" s="174"/>
      <c r="D1285" s="174"/>
      <c r="E1285" s="165"/>
    </row>
    <row r="1286" s="151" customFormat="1" ht="15.95" hidden="1" customHeight="1" spans="1:5">
      <c r="A1286" s="176" t="s">
        <v>107</v>
      </c>
      <c r="B1286" s="171"/>
      <c r="C1286" s="171"/>
      <c r="D1286" s="171"/>
      <c r="E1286" s="165"/>
    </row>
    <row r="1287" s="151" customFormat="1" ht="15.95" hidden="1" customHeight="1" spans="1:5">
      <c r="A1287" s="173" t="s">
        <v>108</v>
      </c>
      <c r="B1287" s="171"/>
      <c r="C1287" s="171"/>
      <c r="D1287" s="171"/>
      <c r="E1287" s="165"/>
    </row>
    <row r="1288" s="151" customFormat="1" ht="15.95" hidden="1" customHeight="1" spans="1:5">
      <c r="A1288" s="173" t="s">
        <v>109</v>
      </c>
      <c r="B1288" s="171"/>
      <c r="C1288" s="171"/>
      <c r="D1288" s="171"/>
      <c r="E1288" s="165"/>
    </row>
    <row r="1289" s="151" customFormat="1" ht="15.95" hidden="1" customHeight="1" spans="1:5">
      <c r="A1289" s="65" t="s">
        <v>1084</v>
      </c>
      <c r="B1289" s="171"/>
      <c r="C1289" s="171"/>
      <c r="D1289" s="171"/>
      <c r="E1289" s="165"/>
    </row>
    <row r="1290" s="151" customFormat="1" ht="15.95" hidden="1" customHeight="1" spans="1:5">
      <c r="A1290" s="65" t="s">
        <v>1085</v>
      </c>
      <c r="B1290" s="174"/>
      <c r="C1290" s="174"/>
      <c r="D1290" s="174"/>
      <c r="E1290" s="165"/>
    </row>
    <row r="1291" s="151" customFormat="1" ht="15.95" hidden="1" customHeight="1" spans="1:5">
      <c r="A1291" s="179" t="s">
        <v>1086</v>
      </c>
      <c r="B1291" s="174">
        <v>0</v>
      </c>
      <c r="C1291" s="174"/>
      <c r="D1291" s="174"/>
      <c r="E1291" s="165"/>
    </row>
    <row r="1292" s="151" customFormat="1" ht="15.95" hidden="1" customHeight="1" spans="1:5">
      <c r="A1292" s="173" t="s">
        <v>107</v>
      </c>
      <c r="B1292" s="171"/>
      <c r="C1292" s="171"/>
      <c r="D1292" s="171"/>
      <c r="E1292" s="165"/>
    </row>
    <row r="1293" s="151" customFormat="1" ht="15.95" hidden="1" customHeight="1" spans="1:5">
      <c r="A1293" s="173" t="s">
        <v>108</v>
      </c>
      <c r="B1293" s="171"/>
      <c r="C1293" s="171"/>
      <c r="D1293" s="171"/>
      <c r="E1293" s="165"/>
    </row>
    <row r="1294" s="151" customFormat="1" ht="15.95" hidden="1" customHeight="1" spans="1:5">
      <c r="A1294" s="173" t="s">
        <v>109</v>
      </c>
      <c r="B1294" s="171"/>
      <c r="C1294" s="171"/>
      <c r="D1294" s="171"/>
      <c r="E1294" s="165"/>
    </row>
    <row r="1295" s="151" customFormat="1" ht="15.95" hidden="1" customHeight="1" spans="1:5">
      <c r="A1295" s="176" t="s">
        <v>1087</v>
      </c>
      <c r="B1295" s="178"/>
      <c r="C1295" s="178"/>
      <c r="D1295" s="178"/>
      <c r="E1295" s="165"/>
    </row>
    <row r="1296" s="151" customFormat="1" ht="15.95" hidden="1" customHeight="1" spans="1:5">
      <c r="A1296" s="173" t="s">
        <v>1088</v>
      </c>
      <c r="B1296" s="171"/>
      <c r="C1296" s="171"/>
      <c r="D1296" s="171"/>
      <c r="E1296" s="165"/>
    </row>
    <row r="1297" s="151" customFormat="1" ht="15.95" hidden="1" customHeight="1" spans="1:5">
      <c r="A1297" s="173" t="s">
        <v>116</v>
      </c>
      <c r="B1297" s="171"/>
      <c r="C1297" s="171"/>
      <c r="D1297" s="171"/>
      <c r="E1297" s="165"/>
    </row>
    <row r="1298" s="151" customFormat="1" ht="15.95" hidden="1" customHeight="1" spans="1:5">
      <c r="A1298" s="176" t="s">
        <v>1089</v>
      </c>
      <c r="B1298" s="178"/>
      <c r="C1298" s="178"/>
      <c r="D1298" s="178"/>
      <c r="E1298" s="165"/>
    </row>
    <row r="1299" s="151" customFormat="1" ht="15.95" customHeight="1" spans="1:5">
      <c r="A1299" s="166" t="s">
        <v>1090</v>
      </c>
      <c r="B1299" s="167">
        <v>152</v>
      </c>
      <c r="C1299" s="174">
        <v>139</v>
      </c>
      <c r="D1299" s="174">
        <f>D1300</f>
        <v>131</v>
      </c>
      <c r="E1299" s="165">
        <f>D1299/B1299</f>
        <v>0.861842105263158</v>
      </c>
    </row>
    <row r="1300" s="151" customFormat="1" ht="15.95" customHeight="1" spans="1:5">
      <c r="A1300" s="173" t="s">
        <v>107</v>
      </c>
      <c r="B1300" s="171">
        <v>120</v>
      </c>
      <c r="C1300" s="171">
        <v>139</v>
      </c>
      <c r="D1300" s="171">
        <f>139-8</f>
        <v>131</v>
      </c>
      <c r="E1300" s="172">
        <f>D1300/B1300</f>
        <v>1.09166666666667</v>
      </c>
    </row>
    <row r="1301" s="151" customFormat="1" ht="15.95" hidden="1" customHeight="1" spans="1:5">
      <c r="A1301" s="173" t="s">
        <v>108</v>
      </c>
      <c r="B1301" s="171">
        <v>0</v>
      </c>
      <c r="C1301" s="171"/>
      <c r="D1301" s="171"/>
      <c r="E1301" s="172"/>
    </row>
    <row r="1302" s="151" customFormat="1" ht="15.95" hidden="1" customHeight="1" spans="1:5">
      <c r="A1302" s="173" t="s">
        <v>109</v>
      </c>
      <c r="B1302" s="171">
        <v>0</v>
      </c>
      <c r="C1302" s="171"/>
      <c r="D1302" s="171"/>
      <c r="E1302" s="172"/>
    </row>
    <row r="1303" s="151" customFormat="1" ht="15.95" hidden="1" customHeight="1" spans="1:5">
      <c r="A1303" s="173" t="s">
        <v>1091</v>
      </c>
      <c r="B1303" s="171">
        <v>0</v>
      </c>
      <c r="C1303" s="171"/>
      <c r="D1303" s="171"/>
      <c r="E1303" s="172"/>
    </row>
    <row r="1304" s="151" customFormat="1" ht="15.95" hidden="1" customHeight="1" spans="1:5">
      <c r="A1304" s="176" t="s">
        <v>1092</v>
      </c>
      <c r="B1304" s="178">
        <v>0</v>
      </c>
      <c r="C1304" s="178"/>
      <c r="D1304" s="178"/>
      <c r="E1304" s="172"/>
    </row>
    <row r="1305" s="151" customFormat="1" ht="15.95" hidden="1" customHeight="1" spans="1:5">
      <c r="A1305" s="173" t="s">
        <v>1093</v>
      </c>
      <c r="B1305" s="171">
        <v>0</v>
      </c>
      <c r="C1305" s="171"/>
      <c r="D1305" s="171"/>
      <c r="E1305" s="172"/>
    </row>
    <row r="1306" s="151" customFormat="1" ht="15.95" hidden="1" customHeight="1" spans="1:5">
      <c r="A1306" s="173" t="s">
        <v>1094</v>
      </c>
      <c r="B1306" s="171">
        <v>0</v>
      </c>
      <c r="C1306" s="171"/>
      <c r="D1306" s="171"/>
      <c r="E1306" s="172"/>
    </row>
    <row r="1307" s="151" customFormat="1" ht="15.95" hidden="1" customHeight="1" spans="1:5">
      <c r="A1307" s="173" t="s">
        <v>1095</v>
      </c>
      <c r="B1307" s="171">
        <v>0</v>
      </c>
      <c r="C1307" s="171"/>
      <c r="D1307" s="171"/>
      <c r="E1307" s="172"/>
    </row>
    <row r="1308" s="151" customFormat="1" ht="15.95" hidden="1" customHeight="1" spans="1:5">
      <c r="A1308" s="173" t="s">
        <v>1096</v>
      </c>
      <c r="B1308" s="171">
        <v>0</v>
      </c>
      <c r="C1308" s="171"/>
      <c r="D1308" s="171"/>
      <c r="E1308" s="172"/>
    </row>
    <row r="1309" s="151" customFormat="1" ht="15.95" hidden="1" customHeight="1" spans="1:5">
      <c r="A1309" s="173" t="s">
        <v>1097</v>
      </c>
      <c r="B1309" s="171">
        <v>0</v>
      </c>
      <c r="C1309" s="171"/>
      <c r="D1309" s="171"/>
      <c r="E1309" s="172"/>
    </row>
    <row r="1310" s="151" customFormat="1" ht="15.95" hidden="1" customHeight="1" spans="1:5">
      <c r="A1310" s="173" t="s">
        <v>1098</v>
      </c>
      <c r="B1310" s="171">
        <v>0</v>
      </c>
      <c r="C1310" s="171"/>
      <c r="D1310" s="171"/>
      <c r="E1310" s="172"/>
    </row>
    <row r="1311" s="151" customFormat="1" ht="15.95" customHeight="1" spans="1:5">
      <c r="A1311" s="173" t="s">
        <v>1099</v>
      </c>
      <c r="B1311" s="171">
        <v>32</v>
      </c>
      <c r="C1311" s="171"/>
      <c r="D1311" s="171"/>
      <c r="E1311" s="172">
        <f>D1311/B1311</f>
        <v>0</v>
      </c>
    </row>
    <row r="1312" s="151" customFormat="1" ht="15.95" hidden="1" customHeight="1" spans="1:5">
      <c r="A1312" s="179" t="s">
        <v>1100</v>
      </c>
      <c r="B1312" s="174"/>
      <c r="C1312" s="174"/>
      <c r="D1312" s="174"/>
      <c r="E1312" s="165"/>
    </row>
    <row r="1313" s="151" customFormat="1" ht="15.95" hidden="1" customHeight="1" spans="1:5">
      <c r="A1313" s="173" t="s">
        <v>1101</v>
      </c>
      <c r="B1313" s="171"/>
      <c r="C1313" s="171"/>
      <c r="D1313" s="171"/>
      <c r="E1313" s="165"/>
    </row>
    <row r="1314" s="151" customFormat="1" ht="15.95" hidden="1" customHeight="1" spans="1:5">
      <c r="A1314" s="173" t="s">
        <v>1102</v>
      </c>
      <c r="B1314" s="171"/>
      <c r="C1314" s="171"/>
      <c r="D1314" s="171"/>
      <c r="E1314" s="165"/>
    </row>
    <row r="1315" s="151" customFormat="1" ht="15.95" hidden="1" customHeight="1" spans="1:5">
      <c r="A1315" s="173" t="s">
        <v>1103</v>
      </c>
      <c r="B1315" s="171"/>
      <c r="C1315" s="171"/>
      <c r="D1315" s="171"/>
      <c r="E1315" s="165"/>
    </row>
    <row r="1316" s="151" customFormat="1" ht="21" hidden="1" customHeight="1" spans="1:5">
      <c r="A1316" s="179" t="s">
        <v>1104</v>
      </c>
      <c r="B1316" s="174">
        <v>0</v>
      </c>
      <c r="C1316" s="174"/>
      <c r="D1316" s="174"/>
      <c r="E1316" s="165"/>
    </row>
    <row r="1317" s="151" customFormat="1" ht="15.95" hidden="1" customHeight="1" spans="1:5">
      <c r="A1317" s="173" t="s">
        <v>1105</v>
      </c>
      <c r="B1317" s="171"/>
      <c r="C1317" s="171"/>
      <c r="D1317" s="171"/>
      <c r="E1317" s="165"/>
    </row>
    <row r="1318" s="151" customFormat="1" ht="15.95" hidden="1" customHeight="1" spans="1:5">
      <c r="A1318" s="173" t="s">
        <v>1106</v>
      </c>
      <c r="B1318" s="171"/>
      <c r="C1318" s="171"/>
      <c r="D1318" s="171"/>
      <c r="E1318" s="165"/>
    </row>
    <row r="1319" s="151" customFormat="1" ht="18.95" hidden="1" customHeight="1" spans="1:5">
      <c r="A1319" s="173" t="s">
        <v>1107</v>
      </c>
      <c r="B1319" s="171"/>
      <c r="C1319" s="171"/>
      <c r="D1319" s="171"/>
      <c r="E1319" s="165"/>
    </row>
    <row r="1320" s="151" customFormat="1" ht="18.95" hidden="1" customHeight="1" spans="1:5">
      <c r="A1320" s="179" t="s">
        <v>1108</v>
      </c>
      <c r="B1320" s="174">
        <v>0</v>
      </c>
      <c r="C1320" s="174"/>
      <c r="D1320" s="174"/>
      <c r="E1320" s="165"/>
    </row>
    <row r="1321" s="151" customFormat="1" ht="18.95" hidden="1" customHeight="1" spans="1:5">
      <c r="A1321" s="173" t="s">
        <v>1109</v>
      </c>
      <c r="B1321" s="171"/>
      <c r="C1321" s="171"/>
      <c r="D1321" s="171"/>
      <c r="E1321" s="165"/>
    </row>
    <row r="1322" s="151" customFormat="1" ht="15.95" customHeight="1" spans="1:5">
      <c r="A1322" s="179" t="s">
        <v>1110</v>
      </c>
      <c r="B1322" s="174">
        <v>146</v>
      </c>
      <c r="C1322" s="174">
        <v>21088</v>
      </c>
      <c r="D1322" s="174">
        <f>D1323+D1324</f>
        <v>12913</v>
      </c>
      <c r="E1322" s="165">
        <f t="shared" ref="E1322:E1325" si="83">D1322/B1322</f>
        <v>88.4452054794521</v>
      </c>
    </row>
    <row r="1323" s="151" customFormat="1" ht="15.95" customHeight="1" spans="1:5">
      <c r="A1323" s="63" t="s">
        <v>1111</v>
      </c>
      <c r="B1323" s="171"/>
      <c r="C1323" s="174">
        <v>21040</v>
      </c>
      <c r="D1323" s="174">
        <f>21040-8241</f>
        <v>12799</v>
      </c>
      <c r="E1323" s="165"/>
    </row>
    <row r="1324" s="151" customFormat="1" ht="15.95" customHeight="1" spans="1:5">
      <c r="A1324" s="63" t="s">
        <v>970</v>
      </c>
      <c r="B1324" s="171">
        <v>146</v>
      </c>
      <c r="C1324" s="174">
        <v>48</v>
      </c>
      <c r="D1324" s="174">
        <f>48+66</f>
        <v>114</v>
      </c>
      <c r="E1324" s="165">
        <f t="shared" si="83"/>
        <v>0.780821917808219</v>
      </c>
    </row>
    <row r="1325" s="151" customFormat="1" ht="15.95" customHeight="1" spans="1:5">
      <c r="A1325" s="179" t="s">
        <v>1112</v>
      </c>
      <c r="B1325" s="174">
        <v>18240</v>
      </c>
      <c r="C1325" s="174">
        <v>19000</v>
      </c>
      <c r="D1325" s="174">
        <f>D1328</f>
        <v>18031</v>
      </c>
      <c r="E1325" s="165">
        <f t="shared" si="83"/>
        <v>0.988541666666667</v>
      </c>
    </row>
    <row r="1326" s="151" customFormat="1" ht="20.1" hidden="1" customHeight="1" spans="1:5">
      <c r="A1326" s="63" t="s">
        <v>1113</v>
      </c>
      <c r="B1326" s="174"/>
      <c r="C1326" s="174"/>
      <c r="D1326" s="174"/>
      <c r="E1326" s="165"/>
    </row>
    <row r="1327" s="151" customFormat="1" ht="20.1" hidden="1" customHeight="1" spans="1:5">
      <c r="A1327" s="63" t="s">
        <v>1114</v>
      </c>
      <c r="B1327" s="171"/>
      <c r="C1327" s="171"/>
      <c r="D1327" s="171"/>
      <c r="E1327" s="165"/>
    </row>
    <row r="1328" s="151" customFormat="1" ht="20.1" customHeight="1" spans="1:5">
      <c r="A1328" s="63" t="s">
        <v>1115</v>
      </c>
      <c r="B1328" s="174">
        <v>18240</v>
      </c>
      <c r="C1328" s="174">
        <v>19000</v>
      </c>
      <c r="D1328" s="174">
        <f>D1329</f>
        <v>18031</v>
      </c>
      <c r="E1328" s="165">
        <f t="shared" ref="E1328:E1333" si="84">D1328/B1328</f>
        <v>0.988541666666667</v>
      </c>
    </row>
    <row r="1329" s="151" customFormat="1" ht="15.95" customHeight="1" spans="1:5">
      <c r="A1329" s="65" t="s">
        <v>1116</v>
      </c>
      <c r="B1329" s="171">
        <v>18240</v>
      </c>
      <c r="C1329" s="171">
        <v>19000</v>
      </c>
      <c r="D1329" s="171">
        <f>19000-969</f>
        <v>18031</v>
      </c>
      <c r="E1329" s="172">
        <f t="shared" si="84"/>
        <v>0.988541666666667</v>
      </c>
    </row>
    <row r="1330" s="151" customFormat="1" ht="15" hidden="1" customHeight="1" spans="1:5">
      <c r="A1330" s="65" t="s">
        <v>1117</v>
      </c>
      <c r="B1330" s="171">
        <v>0</v>
      </c>
      <c r="C1330" s="171"/>
      <c r="D1330" s="171"/>
      <c r="E1330" s="165"/>
    </row>
    <row r="1331" s="151" customFormat="1" ht="15" hidden="1" customHeight="1" spans="1:5">
      <c r="A1331" s="65" t="s">
        <v>1118</v>
      </c>
      <c r="B1331" s="174">
        <v>0</v>
      </c>
      <c r="C1331" s="174"/>
      <c r="D1331" s="174"/>
      <c r="E1331" s="165"/>
    </row>
    <row r="1332" s="151" customFormat="1" ht="15" hidden="1" customHeight="1" spans="1:5">
      <c r="A1332" s="65" t="s">
        <v>1119</v>
      </c>
      <c r="B1332" s="174">
        <v>0</v>
      </c>
      <c r="C1332" s="174"/>
      <c r="D1332" s="174"/>
      <c r="E1332" s="165"/>
    </row>
    <row r="1333" s="151" customFormat="1" ht="15.95" customHeight="1" spans="1:5">
      <c r="A1333" s="179" t="s">
        <v>1120</v>
      </c>
      <c r="B1333" s="174">
        <v>44</v>
      </c>
      <c r="C1333" s="174">
        <v>100</v>
      </c>
      <c r="D1333" s="174">
        <v>100</v>
      </c>
      <c r="E1333" s="165">
        <f t="shared" si="84"/>
        <v>2.27272727272727</v>
      </c>
    </row>
    <row r="1334" s="151" customFormat="1" ht="18.95" hidden="1" customHeight="1" spans="1:5">
      <c r="A1334" s="63" t="s">
        <v>1121</v>
      </c>
      <c r="B1334" s="171"/>
      <c r="C1334" s="171"/>
      <c r="D1334" s="171"/>
      <c r="E1334" s="165"/>
    </row>
    <row r="1335" s="151" customFormat="1" ht="18.95" hidden="1" customHeight="1" spans="1:5">
      <c r="A1335" s="63" t="s">
        <v>1122</v>
      </c>
      <c r="B1335" s="181"/>
      <c r="C1335" s="181"/>
      <c r="D1335" s="181"/>
      <c r="E1335" s="165"/>
    </row>
    <row r="1336" s="151" customFormat="1" ht="18.95" customHeight="1" spans="1:5">
      <c r="A1336" s="63" t="s">
        <v>1123</v>
      </c>
      <c r="B1336" s="181">
        <v>44</v>
      </c>
      <c r="C1336" s="181">
        <v>100</v>
      </c>
      <c r="D1336" s="181">
        <v>100</v>
      </c>
      <c r="E1336" s="165">
        <f t="shared" ref="E1336:E1343" si="85">D1336/B1336</f>
        <v>2.27272727272727</v>
      </c>
    </row>
    <row r="1337" s="151" customFormat="1" ht="15.95" customHeight="1" spans="1:5">
      <c r="A1337" s="179" t="s">
        <v>64</v>
      </c>
      <c r="B1337" s="174"/>
      <c r="C1337" s="174">
        <v>5200</v>
      </c>
      <c r="D1337" s="174">
        <v>5200</v>
      </c>
      <c r="E1337" s="165"/>
    </row>
    <row r="1338" s="151" customFormat="1" ht="15.95" customHeight="1" spans="1:5">
      <c r="A1338" s="182" t="s">
        <v>66</v>
      </c>
      <c r="B1338" s="181">
        <f>B1339+B1342+B1345+B1346+B1347</f>
        <v>201616</v>
      </c>
      <c r="C1338" s="181">
        <f>C1339+C1342+C1345+C1346+C1347</f>
        <v>91213</v>
      </c>
      <c r="D1338" s="181">
        <f>D1339+D1342+D1345+D1346+D1347</f>
        <v>93923</v>
      </c>
      <c r="E1338" s="165">
        <f t="shared" si="85"/>
        <v>0.465850924529799</v>
      </c>
    </row>
    <row r="1339" s="151" customFormat="1" ht="15.95" customHeight="1" spans="1:5">
      <c r="A1339" s="182" t="s">
        <v>68</v>
      </c>
      <c r="B1339" s="105">
        <f>B1340+B1341</f>
        <v>36672</v>
      </c>
      <c r="C1339" s="105">
        <f>C1340+C1341</f>
        <v>38099</v>
      </c>
      <c r="D1339" s="105">
        <f>D1340+D1341</f>
        <v>38099</v>
      </c>
      <c r="E1339" s="165">
        <f t="shared" si="85"/>
        <v>1.03891252181501</v>
      </c>
    </row>
    <row r="1340" s="151" customFormat="1" ht="15.95" customHeight="1" spans="1:5">
      <c r="A1340" s="183" t="s">
        <v>70</v>
      </c>
      <c r="B1340" s="54">
        <v>16354</v>
      </c>
      <c r="C1340" s="54">
        <v>11111</v>
      </c>
      <c r="D1340" s="54">
        <v>11111</v>
      </c>
      <c r="E1340" s="172">
        <f t="shared" si="85"/>
        <v>0.679405649993885</v>
      </c>
    </row>
    <row r="1341" s="151" customFormat="1" ht="15.95" customHeight="1" spans="1:5">
      <c r="A1341" s="183" t="s">
        <v>72</v>
      </c>
      <c r="B1341" s="54">
        <v>20318</v>
      </c>
      <c r="C1341" s="54">
        <v>26988</v>
      </c>
      <c r="D1341" s="54">
        <v>26988</v>
      </c>
      <c r="E1341" s="172">
        <f t="shared" si="85"/>
        <v>1.3282803425534</v>
      </c>
    </row>
    <row r="1342" s="151" customFormat="1" ht="18.95" customHeight="1" spans="1:5">
      <c r="A1342" s="184" t="s">
        <v>74</v>
      </c>
      <c r="B1342" s="105">
        <f>B1343+B1344</f>
        <v>40742</v>
      </c>
      <c r="C1342" s="105">
        <f>C1343+C1344</f>
        <v>49867</v>
      </c>
      <c r="D1342" s="105">
        <f>D1343+D1344</f>
        <v>49867</v>
      </c>
      <c r="E1342" s="165">
        <f t="shared" si="85"/>
        <v>1.22397035000736</v>
      </c>
    </row>
    <row r="1343" s="151" customFormat="1" ht="15.95" customHeight="1" spans="1:5">
      <c r="A1343" s="183" t="s">
        <v>76</v>
      </c>
      <c r="B1343" s="54">
        <v>40742</v>
      </c>
      <c r="C1343" s="54">
        <v>49867</v>
      </c>
      <c r="D1343" s="54">
        <v>49867</v>
      </c>
      <c r="E1343" s="172">
        <f t="shared" si="85"/>
        <v>1.22397035000736</v>
      </c>
    </row>
    <row r="1344" s="151" customFormat="1" ht="18.95" hidden="1" customHeight="1" spans="1:5">
      <c r="A1344" s="185" t="s">
        <v>78</v>
      </c>
      <c r="B1344" s="181"/>
      <c r="C1344" s="181"/>
      <c r="D1344" s="181"/>
      <c r="E1344" s="165"/>
    </row>
    <row r="1345" s="151" customFormat="1" ht="18.95" customHeight="1" spans="1:5">
      <c r="A1345" s="186" t="s">
        <v>80</v>
      </c>
      <c r="B1345" s="49">
        <v>7384</v>
      </c>
      <c r="C1345" s="49"/>
      <c r="D1345" s="49"/>
      <c r="E1345" s="165">
        <f t="shared" ref="E1345:E1348" si="86">D1345/B1345</f>
        <v>0</v>
      </c>
    </row>
    <row r="1346" s="151" customFormat="1" ht="15.95" customHeight="1" spans="1:5">
      <c r="A1346" s="182" t="s">
        <v>82</v>
      </c>
      <c r="B1346" s="105">
        <v>24768</v>
      </c>
      <c r="C1346" s="49"/>
      <c r="D1346" s="49"/>
      <c r="E1346" s="165">
        <f t="shared" si="86"/>
        <v>0</v>
      </c>
    </row>
    <row r="1347" s="151" customFormat="1" ht="15.95" customHeight="1" spans="1:5">
      <c r="A1347" s="182" t="s">
        <v>84</v>
      </c>
      <c r="B1347" s="105">
        <v>92050</v>
      </c>
      <c r="C1347" s="49">
        <v>3247</v>
      </c>
      <c r="D1347" s="49">
        <v>5957</v>
      </c>
      <c r="E1347" s="165">
        <f t="shared" si="86"/>
        <v>0.0647148288973384</v>
      </c>
    </row>
    <row r="1348" s="151" customFormat="1" ht="15.95" customHeight="1" spans="1:5">
      <c r="A1348" s="164" t="s">
        <v>100</v>
      </c>
      <c r="B1348" s="49">
        <f>B5+B1338</f>
        <v>715563</v>
      </c>
      <c r="C1348" s="49">
        <f>C5+C1337+C1338</f>
        <v>613269</v>
      </c>
      <c r="D1348" s="49">
        <f>D5+D1337+D1338</f>
        <v>634920</v>
      </c>
      <c r="E1348" s="165">
        <f t="shared" si="86"/>
        <v>0.887301327765689</v>
      </c>
    </row>
  </sheetData>
  <sheetProtection formatCells="0" insertHyperlinks="0" autoFilter="0"/>
  <autoFilter ref="A4:E1348">
    <extLst/>
  </autoFilter>
  <mergeCells count="2">
    <mergeCell ref="A2:E2"/>
    <mergeCell ref="D3:E3"/>
  </mergeCells>
  <conditionalFormatting sqref="A816">
    <cfRule type="duplicateValues" dxfId="0" priority="4"/>
  </conditionalFormatting>
  <conditionalFormatting sqref="A947">
    <cfRule type="duplicateValues" dxfId="0" priority="42"/>
  </conditionalFormatting>
  <conditionalFormatting sqref="A1083">
    <cfRule type="duplicateValues" dxfId="0" priority="18"/>
  </conditionalFormatting>
  <conditionalFormatting sqref="A802:A808">
    <cfRule type="duplicateValues" dxfId="0" priority="6"/>
  </conditionalFormatting>
  <conditionalFormatting sqref="A843:A864">
    <cfRule type="duplicateValues" dxfId="0" priority="48"/>
  </conditionalFormatting>
  <conditionalFormatting sqref="A867:A869">
    <cfRule type="duplicateValues" dxfId="0" priority="2"/>
  </conditionalFormatting>
  <conditionalFormatting sqref="A919:A921">
    <cfRule type="duplicateValues" dxfId="0" priority="44"/>
  </conditionalFormatting>
  <conditionalFormatting sqref="A948:A951">
    <cfRule type="duplicateValues" dxfId="0" priority="40"/>
  </conditionalFormatting>
  <conditionalFormatting sqref="A1001:A1009">
    <cfRule type="duplicateValues" dxfId="0" priority="36"/>
  </conditionalFormatting>
  <conditionalFormatting sqref="A1011:A1019">
    <cfRule type="duplicateValues" dxfId="0" priority="34"/>
  </conditionalFormatting>
  <conditionalFormatting sqref="A1021:A1026">
    <cfRule type="duplicateValues" dxfId="0" priority="32"/>
  </conditionalFormatting>
  <conditionalFormatting sqref="A1042:A1056">
    <cfRule type="duplicateValues" dxfId="0" priority="28"/>
  </conditionalFormatting>
  <conditionalFormatting sqref="A1058:A1061">
    <cfRule type="duplicateValues" dxfId="0" priority="26"/>
  </conditionalFormatting>
  <conditionalFormatting sqref="A1074:A1079">
    <cfRule type="duplicateValues" dxfId="0" priority="22"/>
  </conditionalFormatting>
  <conditionalFormatting sqref="A1081:A1082">
    <cfRule type="duplicateValues" dxfId="0" priority="20"/>
  </conditionalFormatting>
  <conditionalFormatting sqref="A1115:A1143">
    <cfRule type="duplicateValues" dxfId="0" priority="16"/>
  </conditionalFormatting>
  <conditionalFormatting sqref="A1323:A1324">
    <cfRule type="duplicateValues" dxfId="0" priority="12"/>
  </conditionalFormatting>
  <conditionalFormatting sqref="A1326:A1332">
    <cfRule type="duplicateValues" dxfId="0" priority="10"/>
  </conditionalFormatting>
  <conditionalFormatting sqref="A1334:A1336">
    <cfRule type="duplicateValues" dxfId="0" priority="8"/>
  </conditionalFormatting>
  <conditionalFormatting sqref="A866 A941:A946 A952:A976 A922:A939 A916:A918 A870:A914">
    <cfRule type="duplicateValues" dxfId="0" priority="46"/>
  </conditionalFormatting>
  <conditionalFormatting sqref="A978:A1000 A1020 A1027:A1029 A1010">
    <cfRule type="duplicateValues" dxfId="0" priority="38"/>
  </conditionalFormatting>
  <conditionalFormatting sqref="A1031:A1041 A1062 A1057">
    <cfRule type="duplicateValues" dxfId="0" priority="30"/>
  </conditionalFormatting>
  <conditionalFormatting sqref="A1063:A1073 A1084:A1093 A1080">
    <cfRule type="duplicateValues" dxfId="0" priority="24"/>
  </conditionalFormatting>
  <conditionalFormatting sqref="A1285 A1289:A1290">
    <cfRule type="duplicateValues" dxfId="0" priority="14"/>
  </conditionalFormatting>
  <printOptions horizontalCentered="1"/>
  <pageMargins left="0.590277777777778" right="0.393055555555556" top="0.472222222222222" bottom="0.590277777777778" header="0.5" footer="0.393055555555556"/>
  <pageSetup paperSize="9" firstPageNumber="3" fitToHeight="0" orientation="portrait" useFirstPageNumber="1" horizontalDpi="600"/>
  <headerFooter>
    <oddFooter>&amp;C第 &amp;P 页，共 78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0"/>
  <sheetViews>
    <sheetView showZeros="0" workbookViewId="0">
      <selection activeCell="D24" sqref="D24"/>
    </sheetView>
  </sheetViews>
  <sheetFormatPr defaultColWidth="9" defaultRowHeight="14.25"/>
  <cols>
    <col min="1" max="1" width="26.625" style="78" customWidth="1"/>
    <col min="2" max="3" width="8.75" style="78" customWidth="1"/>
    <col min="4" max="4" width="8.625" style="78" customWidth="1"/>
    <col min="5" max="5" width="8.625" style="79" customWidth="1"/>
    <col min="6" max="6" width="8.625" style="78" customWidth="1"/>
    <col min="7" max="8" width="11" style="78" customWidth="1"/>
    <col min="9" max="9" width="32.625" style="80" customWidth="1"/>
    <col min="10" max="11" width="8.625" style="78" customWidth="1"/>
    <col min="12" max="12" width="9.25" style="78" customWidth="1"/>
    <col min="13" max="13" width="9.25" style="81" customWidth="1"/>
    <col min="14" max="14" width="9.25" style="78" customWidth="1"/>
    <col min="15" max="15" width="11.25" style="78" customWidth="1"/>
    <col min="16" max="16" width="11" style="78" customWidth="1"/>
    <col min="17" max="17" width="9.375" style="78"/>
    <col min="18" max="16384" width="9" style="78"/>
  </cols>
  <sheetData>
    <row r="1" ht="18" customHeight="1" spans="1:16">
      <c r="A1" s="34" t="s">
        <v>1124</v>
      </c>
      <c r="B1" s="82"/>
      <c r="C1" s="82"/>
      <c r="D1" s="83"/>
      <c r="E1" s="84"/>
      <c r="F1" s="85"/>
      <c r="G1" s="82"/>
      <c r="H1" s="86"/>
      <c r="I1" s="127"/>
      <c r="J1" s="83"/>
      <c r="K1" s="83"/>
      <c r="L1" s="83"/>
      <c r="M1" s="128"/>
      <c r="N1" s="85"/>
      <c r="O1" s="82"/>
      <c r="P1" s="86"/>
    </row>
    <row r="2" ht="24" customHeight="1" spans="1:16">
      <c r="A2" s="87" t="s">
        <v>1125</v>
      </c>
      <c r="B2" s="88"/>
      <c r="C2" s="88"/>
      <c r="D2" s="87"/>
      <c r="E2" s="89"/>
      <c r="F2" s="90"/>
      <c r="G2" s="88"/>
      <c r="H2" s="87"/>
      <c r="I2" s="129"/>
      <c r="J2" s="87"/>
      <c r="K2" s="87"/>
      <c r="L2" s="87"/>
      <c r="M2" s="89"/>
      <c r="N2" s="90"/>
      <c r="O2" s="88"/>
      <c r="P2" s="87"/>
    </row>
    <row r="3" spans="1:16">
      <c r="A3" s="91"/>
      <c r="B3" s="92"/>
      <c r="C3" s="92"/>
      <c r="D3" s="93"/>
      <c r="E3" s="94"/>
      <c r="F3" s="95"/>
      <c r="G3" s="92"/>
      <c r="H3" s="96"/>
      <c r="I3" s="130"/>
      <c r="J3" s="131"/>
      <c r="K3" s="131"/>
      <c r="L3" s="131"/>
      <c r="M3" s="132"/>
      <c r="N3" s="133"/>
      <c r="O3" s="134" t="s">
        <v>2</v>
      </c>
      <c r="P3" s="135"/>
    </row>
    <row r="4" ht="18" customHeight="1" spans="1:16">
      <c r="A4" s="97" t="s">
        <v>1126</v>
      </c>
      <c r="B4" s="98"/>
      <c r="C4" s="98"/>
      <c r="D4" s="97"/>
      <c r="E4" s="98"/>
      <c r="F4" s="97"/>
      <c r="G4" s="98"/>
      <c r="H4" s="97"/>
      <c r="I4" s="44" t="s">
        <v>1127</v>
      </c>
      <c r="J4" s="97"/>
      <c r="K4" s="97"/>
      <c r="L4" s="97"/>
      <c r="M4" s="98"/>
      <c r="N4" s="97"/>
      <c r="O4" s="98"/>
      <c r="P4" s="97"/>
    </row>
    <row r="5" spans="1:16">
      <c r="A5" s="99" t="s">
        <v>5</v>
      </c>
      <c r="B5" s="100" t="s">
        <v>6</v>
      </c>
      <c r="C5" s="100" t="s">
        <v>7</v>
      </c>
      <c r="D5" s="100" t="s">
        <v>8</v>
      </c>
      <c r="E5" s="45" t="s">
        <v>9</v>
      </c>
      <c r="F5" s="45" t="s">
        <v>10</v>
      </c>
      <c r="G5" s="101" t="s">
        <v>10</v>
      </c>
      <c r="H5" s="102"/>
      <c r="I5" s="136" t="s">
        <v>5</v>
      </c>
      <c r="J5" s="100" t="s">
        <v>6</v>
      </c>
      <c r="K5" s="100" t="s">
        <v>7</v>
      </c>
      <c r="L5" s="100" t="s">
        <v>8</v>
      </c>
      <c r="M5" s="45" t="s">
        <v>9</v>
      </c>
      <c r="N5" s="45" t="s">
        <v>10</v>
      </c>
      <c r="O5" s="101" t="s">
        <v>10</v>
      </c>
      <c r="P5" s="102"/>
    </row>
    <row r="6" ht="30" customHeight="1" spans="1:16">
      <c r="A6" s="103"/>
      <c r="B6" s="104"/>
      <c r="C6" s="104"/>
      <c r="D6" s="104"/>
      <c r="E6" s="45"/>
      <c r="F6" s="45"/>
      <c r="G6" s="45" t="s">
        <v>11</v>
      </c>
      <c r="H6" s="45" t="s">
        <v>12</v>
      </c>
      <c r="I6" s="137"/>
      <c r="J6" s="104"/>
      <c r="K6" s="104"/>
      <c r="L6" s="104"/>
      <c r="M6" s="45"/>
      <c r="N6" s="45"/>
      <c r="O6" s="45" t="s">
        <v>11</v>
      </c>
      <c r="P6" s="45" t="s">
        <v>12</v>
      </c>
    </row>
    <row r="7" ht="18.95" customHeight="1" spans="1:16">
      <c r="A7" s="97" t="s">
        <v>1128</v>
      </c>
      <c r="B7" s="71">
        <f t="shared" ref="B7:F7" si="0">B8+B9+B15+B16+B17+B18+B19+B22</f>
        <v>55150</v>
      </c>
      <c r="C7" s="71">
        <f t="shared" si="0"/>
        <v>163682.79</v>
      </c>
      <c r="D7" s="71">
        <f t="shared" si="0"/>
        <v>163682.79</v>
      </c>
      <c r="E7" s="105">
        <f t="shared" si="0"/>
        <v>-82813</v>
      </c>
      <c r="F7" s="71">
        <f t="shared" si="0"/>
        <v>80869.79</v>
      </c>
      <c r="G7" s="105">
        <f t="shared" ref="G7:G56" si="1">F7-B7</f>
        <v>25719.79</v>
      </c>
      <c r="H7" s="106">
        <f t="shared" ref="H7:H11" si="2">G7/B7</f>
        <v>0.466360652765186</v>
      </c>
      <c r="I7" s="44" t="s">
        <v>1129</v>
      </c>
      <c r="J7" s="71">
        <f t="shared" ref="J7:N7" si="3">J11+J26+J31+J35+J42+J22</f>
        <v>255553</v>
      </c>
      <c r="K7" s="71">
        <f t="shared" si="3"/>
        <v>228020</v>
      </c>
      <c r="L7" s="71">
        <f t="shared" si="3"/>
        <v>350120</v>
      </c>
      <c r="M7" s="105">
        <f t="shared" si="3"/>
        <v>-82813.280021</v>
      </c>
      <c r="N7" s="71">
        <f t="shared" si="3"/>
        <v>267306.719979</v>
      </c>
      <c r="O7" s="105">
        <f t="shared" ref="O7:O60" si="4">N7-J7</f>
        <v>11753.719979</v>
      </c>
      <c r="P7" s="106">
        <f t="shared" ref="P7:P15" si="5">O7/J7</f>
        <v>0.0459932772419028</v>
      </c>
    </row>
    <row r="8" ht="18.95" customHeight="1" spans="1:16">
      <c r="A8" s="107" t="s">
        <v>1130</v>
      </c>
      <c r="B8" s="74"/>
      <c r="C8" s="74"/>
      <c r="D8" s="74"/>
      <c r="E8" s="105"/>
      <c r="F8" s="74"/>
      <c r="G8" s="105"/>
      <c r="H8" s="106"/>
      <c r="I8" s="138" t="s">
        <v>1131</v>
      </c>
      <c r="J8" s="139"/>
      <c r="K8" s="139">
        <v>0</v>
      </c>
      <c r="L8" s="139"/>
      <c r="M8" s="140"/>
      <c r="N8" s="139"/>
      <c r="O8" s="139"/>
      <c r="P8" s="139"/>
    </row>
    <row r="9" ht="18.95" customHeight="1" spans="1:16">
      <c r="A9" s="108" t="s">
        <v>1132</v>
      </c>
      <c r="B9" s="74">
        <f t="shared" ref="B9:F9" si="6">SUM(B10:B14)</f>
        <v>47952</v>
      </c>
      <c r="C9" s="74">
        <f t="shared" si="6"/>
        <v>150411</v>
      </c>
      <c r="D9" s="74">
        <f t="shared" si="6"/>
        <v>150411</v>
      </c>
      <c r="E9" s="105">
        <f t="shared" si="6"/>
        <v>-78823</v>
      </c>
      <c r="F9" s="74">
        <f t="shared" si="6"/>
        <v>71588</v>
      </c>
      <c r="G9" s="105">
        <f t="shared" si="1"/>
        <v>23636</v>
      </c>
      <c r="H9" s="106">
        <f t="shared" si="2"/>
        <v>0.49290957624291</v>
      </c>
      <c r="I9" s="141" t="s">
        <v>1133</v>
      </c>
      <c r="J9" s="139"/>
      <c r="K9" s="139"/>
      <c r="L9" s="139"/>
      <c r="M9" s="140"/>
      <c r="N9" s="139"/>
      <c r="O9" s="139"/>
      <c r="P9" s="139"/>
    </row>
    <row r="10" ht="18.95" customHeight="1" spans="1:16">
      <c r="A10" s="109" t="s">
        <v>1134</v>
      </c>
      <c r="B10" s="75">
        <v>47049</v>
      </c>
      <c r="C10" s="75">
        <v>152218</v>
      </c>
      <c r="D10" s="75">
        <v>152218</v>
      </c>
      <c r="E10" s="110">
        <f t="shared" ref="E10:E16" si="7">F10-D10</f>
        <v>-75630</v>
      </c>
      <c r="F10" s="75">
        <v>76588</v>
      </c>
      <c r="G10" s="110">
        <f t="shared" si="1"/>
        <v>29539</v>
      </c>
      <c r="H10" s="111">
        <f t="shared" si="2"/>
        <v>0.627834810516695</v>
      </c>
      <c r="I10" s="142" t="s">
        <v>1135</v>
      </c>
      <c r="J10" s="139"/>
      <c r="K10" s="139"/>
      <c r="L10" s="139"/>
      <c r="M10" s="140"/>
      <c r="N10" s="139"/>
      <c r="O10" s="139"/>
      <c r="P10" s="139"/>
    </row>
    <row r="11" ht="18.95" customHeight="1" spans="1:16">
      <c r="A11" s="109" t="s">
        <v>1136</v>
      </c>
      <c r="B11" s="75">
        <v>2162</v>
      </c>
      <c r="C11" s="75"/>
      <c r="D11" s="75"/>
      <c r="E11" s="110"/>
      <c r="F11" s="75"/>
      <c r="G11" s="110">
        <f t="shared" si="1"/>
        <v>-2162</v>
      </c>
      <c r="H11" s="111">
        <f t="shared" si="2"/>
        <v>-1</v>
      </c>
      <c r="I11" s="143" t="s">
        <v>1137</v>
      </c>
      <c r="J11" s="71">
        <f t="shared" ref="J11:N11" si="8">SUM(J12:J21)</f>
        <v>181883</v>
      </c>
      <c r="K11" s="71">
        <f t="shared" si="8"/>
        <v>175084</v>
      </c>
      <c r="L11" s="71">
        <f t="shared" si="8"/>
        <v>235084</v>
      </c>
      <c r="M11" s="105">
        <f t="shared" si="8"/>
        <v>-82813.280021</v>
      </c>
      <c r="N11" s="71">
        <f t="shared" si="8"/>
        <v>152270.719979</v>
      </c>
      <c r="O11" s="105">
        <f t="shared" si="4"/>
        <v>-29612.280021</v>
      </c>
      <c r="P11" s="106">
        <f t="shared" si="5"/>
        <v>-0.162809498529274</v>
      </c>
    </row>
    <row r="12" ht="18.95" customHeight="1" spans="1:16">
      <c r="A12" s="109" t="s">
        <v>1138</v>
      </c>
      <c r="B12" s="75"/>
      <c r="C12" s="75"/>
      <c r="D12" s="75"/>
      <c r="E12" s="110"/>
      <c r="F12" s="75"/>
      <c r="G12" s="110">
        <f t="shared" si="1"/>
        <v>0</v>
      </c>
      <c r="H12" s="111"/>
      <c r="I12" s="144" t="s">
        <v>1139</v>
      </c>
      <c r="J12" s="75">
        <v>32040</v>
      </c>
      <c r="K12" s="75">
        <v>133371</v>
      </c>
      <c r="L12" s="75">
        <v>133371</v>
      </c>
      <c r="M12" s="110">
        <v>-73406.26102</v>
      </c>
      <c r="N12" s="75">
        <f t="shared" ref="N12:N21" si="9">L12+M12</f>
        <v>59964.73898</v>
      </c>
      <c r="O12" s="110">
        <f t="shared" si="4"/>
        <v>27924.73898</v>
      </c>
      <c r="P12" s="111">
        <f t="shared" si="5"/>
        <v>0.871558644818976</v>
      </c>
    </row>
    <row r="13" ht="27" customHeight="1" spans="1:16">
      <c r="A13" s="112" t="s">
        <v>1140</v>
      </c>
      <c r="B13" s="75">
        <v>-1296</v>
      </c>
      <c r="C13" s="75">
        <v>-1807</v>
      </c>
      <c r="D13" s="75">
        <v>-1807</v>
      </c>
      <c r="E13" s="110">
        <f t="shared" si="7"/>
        <v>-3193</v>
      </c>
      <c r="F13" s="75">
        <v>-5000</v>
      </c>
      <c r="G13" s="110">
        <f t="shared" si="1"/>
        <v>-3704</v>
      </c>
      <c r="H13" s="111">
        <f t="shared" ref="H13:H22" si="10">G13/B13</f>
        <v>2.85802469135802</v>
      </c>
      <c r="I13" s="144" t="s">
        <v>1141</v>
      </c>
      <c r="J13" s="75">
        <v>1141</v>
      </c>
      <c r="K13" s="75">
        <v>5000</v>
      </c>
      <c r="L13" s="75">
        <v>5000</v>
      </c>
      <c r="M13" s="110">
        <v>-4974.5418</v>
      </c>
      <c r="N13" s="75">
        <f t="shared" si="9"/>
        <v>25.4582</v>
      </c>
      <c r="O13" s="110">
        <f t="shared" si="4"/>
        <v>-1115.5418</v>
      </c>
      <c r="P13" s="111">
        <f t="shared" si="5"/>
        <v>-0.977687817703769</v>
      </c>
    </row>
    <row r="14" ht="18.95" customHeight="1" spans="1:16">
      <c r="A14" s="109" t="s">
        <v>1142</v>
      </c>
      <c r="B14" s="75">
        <v>37</v>
      </c>
      <c r="C14" s="75"/>
      <c r="D14" s="75"/>
      <c r="E14" s="110"/>
      <c r="F14" s="75"/>
      <c r="G14" s="110">
        <f t="shared" si="1"/>
        <v>-37</v>
      </c>
      <c r="H14" s="111">
        <f t="shared" si="10"/>
        <v>-1</v>
      </c>
      <c r="I14" s="144" t="s">
        <v>1143</v>
      </c>
      <c r="J14" s="75">
        <v>194</v>
      </c>
      <c r="K14" s="75">
        <v>496</v>
      </c>
      <c r="L14" s="75">
        <v>496</v>
      </c>
      <c r="M14" s="110">
        <v>-303.9698</v>
      </c>
      <c r="N14" s="75">
        <f t="shared" si="9"/>
        <v>192.0302</v>
      </c>
      <c r="O14" s="110">
        <f t="shared" si="4"/>
        <v>-1.96980000000002</v>
      </c>
      <c r="P14" s="111">
        <f t="shared" si="5"/>
        <v>-0.0101536082474228</v>
      </c>
    </row>
    <row r="15" ht="18.95" customHeight="1" spans="1:16">
      <c r="A15" s="108" t="s">
        <v>1144</v>
      </c>
      <c r="B15" s="74">
        <v>1722</v>
      </c>
      <c r="C15" s="74">
        <v>5568</v>
      </c>
      <c r="D15" s="74">
        <v>5568</v>
      </c>
      <c r="E15" s="105">
        <f t="shared" si="7"/>
        <v>-2759</v>
      </c>
      <c r="F15" s="74">
        <v>2809</v>
      </c>
      <c r="G15" s="105">
        <f t="shared" si="1"/>
        <v>1087</v>
      </c>
      <c r="H15" s="106">
        <f t="shared" si="10"/>
        <v>0.631242740998839</v>
      </c>
      <c r="I15" s="144" t="s">
        <v>1145</v>
      </c>
      <c r="J15" s="75">
        <v>2218</v>
      </c>
      <c r="K15" s="75">
        <v>4717</v>
      </c>
      <c r="L15" s="75">
        <v>4717</v>
      </c>
      <c r="M15" s="110">
        <v>-2870.872401</v>
      </c>
      <c r="N15" s="75">
        <f t="shared" si="9"/>
        <v>1846.127599</v>
      </c>
      <c r="O15" s="110">
        <f t="shared" si="4"/>
        <v>-371.872401</v>
      </c>
      <c r="P15" s="111">
        <f t="shared" si="5"/>
        <v>-0.167661136609558</v>
      </c>
    </row>
    <row r="16" ht="18.95" customHeight="1" spans="1:16">
      <c r="A16" s="108" t="s">
        <v>1146</v>
      </c>
      <c r="B16" s="74">
        <v>256</v>
      </c>
      <c r="C16" s="74">
        <v>956</v>
      </c>
      <c r="D16" s="74">
        <v>956</v>
      </c>
      <c r="E16" s="105">
        <f t="shared" si="7"/>
        <v>-231</v>
      </c>
      <c r="F16" s="74">
        <v>725</v>
      </c>
      <c r="G16" s="105">
        <f t="shared" si="1"/>
        <v>469</v>
      </c>
      <c r="H16" s="106">
        <f t="shared" si="10"/>
        <v>1.83203125</v>
      </c>
      <c r="I16" s="144" t="s">
        <v>1147</v>
      </c>
      <c r="J16" s="75"/>
      <c r="K16" s="75">
        <v>1500</v>
      </c>
      <c r="L16" s="75">
        <v>1500</v>
      </c>
      <c r="M16" s="110">
        <v>-1257.635</v>
      </c>
      <c r="N16" s="75">
        <f t="shared" si="9"/>
        <v>242.365</v>
      </c>
      <c r="O16" s="110">
        <f t="shared" si="4"/>
        <v>242.365</v>
      </c>
      <c r="P16" s="111"/>
    </row>
    <row r="17" ht="18.95" customHeight="1" spans="1:16">
      <c r="A17" s="107" t="s">
        <v>1148</v>
      </c>
      <c r="B17" s="74">
        <v>3911</v>
      </c>
      <c r="C17" s="74">
        <v>5000</v>
      </c>
      <c r="D17" s="74">
        <v>5000</v>
      </c>
      <c r="E17" s="105">
        <v>-1000</v>
      </c>
      <c r="F17" s="74">
        <v>4000</v>
      </c>
      <c r="G17" s="105">
        <f t="shared" si="1"/>
        <v>89</v>
      </c>
      <c r="H17" s="106">
        <f t="shared" si="10"/>
        <v>0.0227563283047814</v>
      </c>
      <c r="I17" s="144" t="s">
        <v>1149</v>
      </c>
      <c r="J17" s="75"/>
      <c r="K17" s="75"/>
      <c r="L17" s="75">
        <v>0</v>
      </c>
      <c r="M17" s="110"/>
      <c r="N17" s="75">
        <f t="shared" si="9"/>
        <v>0</v>
      </c>
      <c r="O17" s="145">
        <f t="shared" si="4"/>
        <v>0</v>
      </c>
      <c r="P17" s="111"/>
    </row>
    <row r="18" ht="18.95" customHeight="1" spans="1:16">
      <c r="A18" s="107" t="s">
        <v>1150</v>
      </c>
      <c r="B18" s="74">
        <v>1072</v>
      </c>
      <c r="C18" s="74">
        <v>1505.79</v>
      </c>
      <c r="D18" s="74">
        <v>1505.79</v>
      </c>
      <c r="E18" s="105"/>
      <c r="F18" s="74">
        <v>1505.79</v>
      </c>
      <c r="G18" s="105">
        <f t="shared" si="1"/>
        <v>433.79</v>
      </c>
      <c r="H18" s="106">
        <f t="shared" si="10"/>
        <v>0.404654850746269</v>
      </c>
      <c r="I18" s="144" t="s">
        <v>1151</v>
      </c>
      <c r="J18" s="75">
        <v>146290</v>
      </c>
      <c r="K18" s="75">
        <v>30000</v>
      </c>
      <c r="L18" s="75">
        <v>90000</v>
      </c>
      <c r="M18" s="110"/>
      <c r="N18" s="75">
        <f t="shared" si="9"/>
        <v>90000</v>
      </c>
      <c r="O18" s="110">
        <f t="shared" si="4"/>
        <v>-56290</v>
      </c>
      <c r="P18" s="111">
        <f>O18/J18</f>
        <v>-0.384783648916536</v>
      </c>
    </row>
    <row r="19" ht="30" customHeight="1" spans="1:16">
      <c r="A19" s="107" t="s">
        <v>1152</v>
      </c>
      <c r="B19" s="74">
        <v>228</v>
      </c>
      <c r="C19" s="74">
        <v>228</v>
      </c>
      <c r="D19" s="74">
        <v>228</v>
      </c>
      <c r="E19" s="105"/>
      <c r="F19" s="74">
        <v>228</v>
      </c>
      <c r="G19" s="105">
        <f t="shared" si="1"/>
        <v>0</v>
      </c>
      <c r="H19" s="106">
        <f t="shared" si="10"/>
        <v>0</v>
      </c>
      <c r="I19" s="144" t="s">
        <v>1153</v>
      </c>
      <c r="J19" s="75"/>
      <c r="K19" s="75"/>
      <c r="L19" s="75"/>
      <c r="M19" s="110"/>
      <c r="N19" s="75">
        <f t="shared" si="9"/>
        <v>0</v>
      </c>
      <c r="O19" s="145">
        <f t="shared" si="4"/>
        <v>0</v>
      </c>
      <c r="P19" s="111"/>
    </row>
    <row r="20" ht="18.95" customHeight="1" spans="1:16">
      <c r="A20" s="109" t="s">
        <v>1154</v>
      </c>
      <c r="B20" s="113">
        <v>115</v>
      </c>
      <c r="C20" s="113">
        <v>115</v>
      </c>
      <c r="D20" s="113">
        <v>115</v>
      </c>
      <c r="E20" s="54"/>
      <c r="F20" s="113">
        <v>115</v>
      </c>
      <c r="G20" s="110">
        <f t="shared" si="1"/>
        <v>0</v>
      </c>
      <c r="H20" s="111">
        <f t="shared" si="10"/>
        <v>0</v>
      </c>
      <c r="I20" s="144" t="s">
        <v>1155</v>
      </c>
      <c r="J20" s="146"/>
      <c r="K20" s="146"/>
      <c r="L20" s="75"/>
      <c r="M20" s="110"/>
      <c r="N20" s="75">
        <f t="shared" si="9"/>
        <v>0</v>
      </c>
      <c r="O20" s="146">
        <f t="shared" si="4"/>
        <v>0</v>
      </c>
      <c r="P20" s="111"/>
    </row>
    <row r="21" ht="27.95" customHeight="1" spans="1:16">
      <c r="A21" s="109" t="s">
        <v>1156</v>
      </c>
      <c r="B21" s="113">
        <v>113</v>
      </c>
      <c r="C21" s="113">
        <v>113</v>
      </c>
      <c r="D21" s="113">
        <v>113</v>
      </c>
      <c r="E21" s="54"/>
      <c r="F21" s="113">
        <v>113</v>
      </c>
      <c r="G21" s="110">
        <f t="shared" si="1"/>
        <v>0</v>
      </c>
      <c r="H21" s="111">
        <f t="shared" si="10"/>
        <v>0</v>
      </c>
      <c r="I21" s="144" t="s">
        <v>1157</v>
      </c>
      <c r="J21" s="146"/>
      <c r="K21" s="146"/>
      <c r="L21" s="75"/>
      <c r="M21" s="110"/>
      <c r="N21" s="75">
        <f t="shared" si="9"/>
        <v>0</v>
      </c>
      <c r="O21" s="146">
        <f t="shared" si="4"/>
        <v>0</v>
      </c>
      <c r="P21" s="111"/>
    </row>
    <row r="22" ht="30" customHeight="1" spans="1:16">
      <c r="A22" s="107" t="s">
        <v>1158</v>
      </c>
      <c r="B22" s="74">
        <v>9</v>
      </c>
      <c r="C22" s="74">
        <v>14</v>
      </c>
      <c r="D22" s="74">
        <v>14</v>
      </c>
      <c r="E22" s="105"/>
      <c r="F22" s="74">
        <v>14</v>
      </c>
      <c r="G22" s="105">
        <f t="shared" si="1"/>
        <v>5</v>
      </c>
      <c r="H22" s="106">
        <f t="shared" si="10"/>
        <v>0.555555555555556</v>
      </c>
      <c r="I22" s="147" t="s">
        <v>1159</v>
      </c>
      <c r="J22" s="74">
        <f t="shared" ref="J22:N22" si="11">SUM(J23:J25)</f>
        <v>2220</v>
      </c>
      <c r="K22" s="74">
        <f t="shared" si="11"/>
        <v>8102</v>
      </c>
      <c r="L22" s="74">
        <f t="shared" si="11"/>
        <v>8102</v>
      </c>
      <c r="M22" s="105">
        <f t="shared" si="11"/>
        <v>0</v>
      </c>
      <c r="N22" s="74">
        <f t="shared" si="11"/>
        <v>8102</v>
      </c>
      <c r="O22" s="105">
        <f t="shared" si="4"/>
        <v>5882</v>
      </c>
      <c r="P22" s="106">
        <f t="shared" ref="P22:P25" si="12">O22/J22</f>
        <v>2.64954954954955</v>
      </c>
    </row>
    <row r="23" ht="18.95" customHeight="1" spans="1:16">
      <c r="A23" s="107"/>
      <c r="B23" s="74"/>
      <c r="C23" s="74"/>
      <c r="D23" s="74"/>
      <c r="E23" s="105"/>
      <c r="F23" s="74"/>
      <c r="G23" s="105">
        <f t="shared" si="1"/>
        <v>0</v>
      </c>
      <c r="H23" s="106"/>
      <c r="I23" s="144" t="s">
        <v>1160</v>
      </c>
      <c r="J23" s="75"/>
      <c r="K23" s="75"/>
      <c r="L23" s="75"/>
      <c r="M23" s="110"/>
      <c r="N23" s="75">
        <f t="shared" ref="N23:N25" si="13">L23+M23</f>
        <v>0</v>
      </c>
      <c r="O23" s="110">
        <f t="shared" si="4"/>
        <v>0</v>
      </c>
      <c r="P23" s="111"/>
    </row>
    <row r="24" ht="18.95" customHeight="1" spans="1:16">
      <c r="A24" s="107"/>
      <c r="B24" s="74"/>
      <c r="C24" s="74"/>
      <c r="D24" s="74"/>
      <c r="E24" s="105"/>
      <c r="F24" s="74"/>
      <c r="G24" s="105">
        <f t="shared" si="1"/>
        <v>0</v>
      </c>
      <c r="H24" s="106"/>
      <c r="I24" s="144" t="s">
        <v>1161</v>
      </c>
      <c r="J24" s="75">
        <v>237</v>
      </c>
      <c r="K24" s="75">
        <v>3425</v>
      </c>
      <c r="L24" s="75">
        <v>3425</v>
      </c>
      <c r="M24" s="110"/>
      <c r="N24" s="75">
        <f t="shared" si="13"/>
        <v>3425</v>
      </c>
      <c r="O24" s="110">
        <f t="shared" si="4"/>
        <v>3188</v>
      </c>
      <c r="P24" s="111">
        <f t="shared" si="12"/>
        <v>13.4514767932489</v>
      </c>
    </row>
    <row r="25" ht="18.95" customHeight="1" spans="1:16">
      <c r="A25" s="107"/>
      <c r="B25" s="74"/>
      <c r="C25" s="74"/>
      <c r="D25" s="74"/>
      <c r="E25" s="105"/>
      <c r="F25" s="74"/>
      <c r="G25" s="105">
        <f t="shared" si="1"/>
        <v>0</v>
      </c>
      <c r="H25" s="106"/>
      <c r="I25" s="144" t="s">
        <v>1162</v>
      </c>
      <c r="J25" s="75">
        <v>1983</v>
      </c>
      <c r="K25" s="75">
        <v>4677</v>
      </c>
      <c r="L25" s="75">
        <v>4677</v>
      </c>
      <c r="M25" s="110"/>
      <c r="N25" s="75">
        <f t="shared" si="13"/>
        <v>4677</v>
      </c>
      <c r="O25" s="110">
        <f t="shared" si="4"/>
        <v>2694</v>
      </c>
      <c r="P25" s="111">
        <f t="shared" si="12"/>
        <v>1.35854765506808</v>
      </c>
    </row>
    <row r="26" ht="18.95" customHeight="1" spans="1:16">
      <c r="A26" s="114"/>
      <c r="B26" s="115"/>
      <c r="C26" s="115"/>
      <c r="D26" s="115"/>
      <c r="E26" s="115"/>
      <c r="F26" s="115"/>
      <c r="G26" s="116">
        <f t="shared" si="1"/>
        <v>0</v>
      </c>
      <c r="H26" s="111"/>
      <c r="I26" s="143" t="s">
        <v>1163</v>
      </c>
      <c r="J26" s="71"/>
      <c r="K26" s="71">
        <v>0</v>
      </c>
      <c r="L26" s="71"/>
      <c r="M26" s="105"/>
      <c r="N26" s="71"/>
      <c r="O26" s="105">
        <f t="shared" si="4"/>
        <v>0</v>
      </c>
      <c r="P26" s="106"/>
    </row>
    <row r="27" ht="30" customHeight="1" spans="1:16">
      <c r="A27" s="114"/>
      <c r="B27" s="115"/>
      <c r="C27" s="115"/>
      <c r="D27" s="117"/>
      <c r="E27" s="117"/>
      <c r="F27" s="117"/>
      <c r="G27" s="116">
        <f t="shared" si="1"/>
        <v>0</v>
      </c>
      <c r="H27" s="111"/>
      <c r="I27" s="144" t="s">
        <v>1164</v>
      </c>
      <c r="J27" s="75"/>
      <c r="K27" s="75"/>
      <c r="L27" s="75"/>
      <c r="M27" s="110"/>
      <c r="N27" s="75">
        <f t="shared" ref="N27:N30" si="14">L27+M27</f>
        <v>0</v>
      </c>
      <c r="O27" s="110">
        <f t="shared" si="4"/>
        <v>0</v>
      </c>
      <c r="P27" s="111"/>
    </row>
    <row r="28" ht="18.95" customHeight="1" spans="1:16">
      <c r="A28" s="114"/>
      <c r="B28" s="115"/>
      <c r="C28" s="115"/>
      <c r="D28" s="117"/>
      <c r="E28" s="117"/>
      <c r="F28" s="117"/>
      <c r="G28" s="116">
        <f t="shared" si="1"/>
        <v>0</v>
      </c>
      <c r="H28" s="111"/>
      <c r="I28" s="144" t="s">
        <v>1165</v>
      </c>
      <c r="J28" s="75"/>
      <c r="K28" s="75"/>
      <c r="L28" s="75"/>
      <c r="M28" s="110"/>
      <c r="N28" s="75">
        <f t="shared" si="14"/>
        <v>0</v>
      </c>
      <c r="O28" s="110">
        <f t="shared" si="4"/>
        <v>0</v>
      </c>
      <c r="P28" s="111"/>
    </row>
    <row r="29" ht="18.95" customHeight="1" spans="1:16">
      <c r="A29" s="118"/>
      <c r="B29" s="119"/>
      <c r="C29" s="119"/>
      <c r="D29" s="119"/>
      <c r="E29" s="119"/>
      <c r="F29" s="119"/>
      <c r="G29" s="116">
        <f t="shared" si="1"/>
        <v>0</v>
      </c>
      <c r="H29" s="111"/>
      <c r="I29" s="144" t="s">
        <v>1166</v>
      </c>
      <c r="J29" s="115"/>
      <c r="K29" s="115"/>
      <c r="L29" s="115"/>
      <c r="M29" s="115"/>
      <c r="N29" s="75">
        <f t="shared" si="14"/>
        <v>0</v>
      </c>
      <c r="O29" s="110">
        <f t="shared" si="4"/>
        <v>0</v>
      </c>
      <c r="P29" s="111"/>
    </row>
    <row r="30" ht="27" customHeight="1" spans="1:16">
      <c r="A30" s="118"/>
      <c r="B30" s="119"/>
      <c r="C30" s="119"/>
      <c r="D30" s="119"/>
      <c r="E30" s="119"/>
      <c r="F30" s="119"/>
      <c r="G30" s="116">
        <f t="shared" si="1"/>
        <v>0</v>
      </c>
      <c r="H30" s="111"/>
      <c r="I30" s="144" t="s">
        <v>1167</v>
      </c>
      <c r="J30" s="115"/>
      <c r="K30" s="115"/>
      <c r="L30" s="115"/>
      <c r="M30" s="115"/>
      <c r="N30" s="75">
        <f t="shared" si="14"/>
        <v>0</v>
      </c>
      <c r="O30" s="110">
        <f t="shared" si="4"/>
        <v>0</v>
      </c>
      <c r="P30" s="111"/>
    </row>
    <row r="31" ht="18.95" customHeight="1" spans="1:16">
      <c r="A31" s="118"/>
      <c r="B31" s="119"/>
      <c r="C31" s="119"/>
      <c r="D31" s="119"/>
      <c r="E31" s="119"/>
      <c r="F31" s="119"/>
      <c r="G31" s="116">
        <f t="shared" si="1"/>
        <v>0</v>
      </c>
      <c r="H31" s="111"/>
      <c r="I31" s="148" t="s">
        <v>1168</v>
      </c>
      <c r="J31" s="71">
        <f t="shared" ref="J31:N31" si="15">J32+J33+J34</f>
        <v>53406</v>
      </c>
      <c r="K31" s="71">
        <f t="shared" si="15"/>
        <v>24466</v>
      </c>
      <c r="L31" s="71">
        <f t="shared" si="15"/>
        <v>86566</v>
      </c>
      <c r="M31" s="105">
        <f t="shared" si="15"/>
        <v>0</v>
      </c>
      <c r="N31" s="71">
        <f t="shared" si="15"/>
        <v>86566</v>
      </c>
      <c r="O31" s="105">
        <f t="shared" si="4"/>
        <v>33160</v>
      </c>
      <c r="P31" s="106">
        <f t="shared" ref="P31:P35" si="16">O31/J31</f>
        <v>0.6209040182751</v>
      </c>
    </row>
    <row r="32" ht="29.1" customHeight="1" spans="1:16">
      <c r="A32" s="118"/>
      <c r="B32" s="115"/>
      <c r="C32" s="115"/>
      <c r="D32" s="117"/>
      <c r="E32" s="117"/>
      <c r="F32" s="117"/>
      <c r="G32" s="116">
        <f t="shared" si="1"/>
        <v>0</v>
      </c>
      <c r="H32" s="111"/>
      <c r="I32" s="144" t="s">
        <v>1169</v>
      </c>
      <c r="J32" s="75">
        <v>52156</v>
      </c>
      <c r="K32" s="75">
        <v>23965</v>
      </c>
      <c r="L32" s="75">
        <v>86065</v>
      </c>
      <c r="M32" s="110"/>
      <c r="N32" s="75">
        <f t="shared" ref="N32:N41" si="17">L32+M32</f>
        <v>86065</v>
      </c>
      <c r="O32" s="110">
        <f t="shared" si="4"/>
        <v>33909</v>
      </c>
      <c r="P32" s="111">
        <f t="shared" si="16"/>
        <v>0.650145716696066</v>
      </c>
    </row>
    <row r="33" ht="18.95" customHeight="1" spans="1:16">
      <c r="A33" s="118"/>
      <c r="B33" s="115"/>
      <c r="C33" s="115"/>
      <c r="D33" s="117"/>
      <c r="E33" s="117"/>
      <c r="F33" s="117"/>
      <c r="G33" s="116">
        <f t="shared" si="1"/>
        <v>0</v>
      </c>
      <c r="H33" s="111"/>
      <c r="I33" s="144" t="s">
        <v>1170</v>
      </c>
      <c r="J33" s="75">
        <v>11</v>
      </c>
      <c r="K33" s="75">
        <v>14</v>
      </c>
      <c r="L33" s="75">
        <v>14</v>
      </c>
      <c r="M33" s="110"/>
      <c r="N33" s="75">
        <v>14</v>
      </c>
      <c r="O33" s="110">
        <f t="shared" si="4"/>
        <v>3</v>
      </c>
      <c r="P33" s="111">
        <f t="shared" si="16"/>
        <v>0.272727272727273</v>
      </c>
    </row>
    <row r="34" ht="18.95" customHeight="1" spans="1:16">
      <c r="A34" s="114"/>
      <c r="B34" s="120"/>
      <c r="C34" s="120"/>
      <c r="D34" s="120"/>
      <c r="E34" s="120"/>
      <c r="F34" s="120"/>
      <c r="G34" s="116">
        <f t="shared" si="1"/>
        <v>0</v>
      </c>
      <c r="H34" s="111"/>
      <c r="I34" s="144" t="s">
        <v>1171</v>
      </c>
      <c r="J34" s="75">
        <v>1239</v>
      </c>
      <c r="K34" s="75">
        <v>487</v>
      </c>
      <c r="L34" s="75">
        <v>487</v>
      </c>
      <c r="M34" s="110"/>
      <c r="N34" s="75">
        <f t="shared" si="17"/>
        <v>487</v>
      </c>
      <c r="O34" s="110">
        <f t="shared" si="4"/>
        <v>-752</v>
      </c>
      <c r="P34" s="111">
        <f t="shared" si="16"/>
        <v>-0.606941081517353</v>
      </c>
    </row>
    <row r="35" ht="18.95" customHeight="1" spans="1:16">
      <c r="A35" s="121"/>
      <c r="B35" s="120"/>
      <c r="C35" s="120"/>
      <c r="D35" s="120"/>
      <c r="E35" s="120"/>
      <c r="F35" s="120"/>
      <c r="G35" s="116">
        <f t="shared" si="1"/>
        <v>0</v>
      </c>
      <c r="H35" s="111"/>
      <c r="I35" s="149" t="s">
        <v>1172</v>
      </c>
      <c r="J35" s="71">
        <f t="shared" ref="J35:N35" si="18">SUM(J36:J41)</f>
        <v>17988</v>
      </c>
      <c r="K35" s="71">
        <f t="shared" si="18"/>
        <v>20113</v>
      </c>
      <c r="L35" s="71">
        <f t="shared" si="18"/>
        <v>20113</v>
      </c>
      <c r="M35" s="105">
        <f t="shared" si="18"/>
        <v>0</v>
      </c>
      <c r="N35" s="71">
        <f t="shared" si="18"/>
        <v>20113</v>
      </c>
      <c r="O35" s="105">
        <f t="shared" si="4"/>
        <v>2125</v>
      </c>
      <c r="P35" s="106">
        <f t="shared" si="16"/>
        <v>0.118134311763398</v>
      </c>
    </row>
    <row r="36" ht="24.95" customHeight="1" spans="1:16">
      <c r="A36" s="114"/>
      <c r="B36" s="115"/>
      <c r="C36" s="115"/>
      <c r="D36" s="115"/>
      <c r="E36" s="115"/>
      <c r="F36" s="115"/>
      <c r="G36" s="116">
        <f t="shared" si="1"/>
        <v>0</v>
      </c>
      <c r="H36" s="111"/>
      <c r="I36" s="126" t="s">
        <v>1173</v>
      </c>
      <c r="J36" s="75"/>
      <c r="K36" s="75"/>
      <c r="L36" s="75"/>
      <c r="M36" s="110"/>
      <c r="N36" s="75">
        <f t="shared" si="17"/>
        <v>0</v>
      </c>
      <c r="O36" s="110">
        <f t="shared" si="4"/>
        <v>0</v>
      </c>
      <c r="P36" s="111"/>
    </row>
    <row r="37" ht="18.95" customHeight="1" spans="1:16">
      <c r="A37" s="114"/>
      <c r="B37" s="115"/>
      <c r="C37" s="115"/>
      <c r="D37" s="115"/>
      <c r="E37" s="115"/>
      <c r="F37" s="115"/>
      <c r="G37" s="116">
        <f t="shared" si="1"/>
        <v>0</v>
      </c>
      <c r="H37" s="111"/>
      <c r="I37" s="150" t="s">
        <v>1174</v>
      </c>
      <c r="J37" s="75">
        <v>4006</v>
      </c>
      <c r="K37" s="75">
        <v>3651</v>
      </c>
      <c r="L37" s="75">
        <v>3651</v>
      </c>
      <c r="M37" s="110"/>
      <c r="N37" s="75">
        <f t="shared" si="17"/>
        <v>3651</v>
      </c>
      <c r="O37" s="110">
        <f t="shared" si="4"/>
        <v>-355</v>
      </c>
      <c r="P37" s="111">
        <f t="shared" ref="P37:P40" si="19">O37/J37</f>
        <v>-0.0886170743884174</v>
      </c>
    </row>
    <row r="38" ht="18.95" customHeight="1" spans="1:16">
      <c r="A38" s="114"/>
      <c r="B38" s="115"/>
      <c r="C38" s="115"/>
      <c r="D38" s="115"/>
      <c r="E38" s="115"/>
      <c r="F38" s="115"/>
      <c r="G38" s="116">
        <f t="shared" si="1"/>
        <v>0</v>
      </c>
      <c r="H38" s="111"/>
      <c r="I38" s="126" t="s">
        <v>1175</v>
      </c>
      <c r="J38" s="75"/>
      <c r="K38" s="75"/>
      <c r="L38" s="75"/>
      <c r="M38" s="110"/>
      <c r="N38" s="75">
        <f t="shared" si="17"/>
        <v>0</v>
      </c>
      <c r="O38" s="110">
        <f t="shared" si="4"/>
        <v>0</v>
      </c>
      <c r="P38" s="111"/>
    </row>
    <row r="39" ht="18.95" customHeight="1" spans="1:16">
      <c r="A39" s="114"/>
      <c r="B39" s="115"/>
      <c r="C39" s="115"/>
      <c r="D39" s="115"/>
      <c r="E39" s="115"/>
      <c r="F39" s="115"/>
      <c r="G39" s="116">
        <f t="shared" si="1"/>
        <v>0</v>
      </c>
      <c r="H39" s="111"/>
      <c r="I39" s="126" t="s">
        <v>1176</v>
      </c>
      <c r="J39" s="75">
        <v>6632</v>
      </c>
      <c r="K39" s="75">
        <v>7062</v>
      </c>
      <c r="L39" s="75">
        <v>7062</v>
      </c>
      <c r="M39" s="110"/>
      <c r="N39" s="75">
        <f t="shared" si="17"/>
        <v>7062</v>
      </c>
      <c r="O39" s="110">
        <f t="shared" si="4"/>
        <v>430</v>
      </c>
      <c r="P39" s="111">
        <f t="shared" si="19"/>
        <v>0.0648371531966224</v>
      </c>
    </row>
    <row r="40" ht="24" customHeight="1" spans="1:16">
      <c r="A40" s="114"/>
      <c r="B40" s="115"/>
      <c r="C40" s="115"/>
      <c r="D40" s="115"/>
      <c r="E40" s="115"/>
      <c r="F40" s="115"/>
      <c r="G40" s="116">
        <f t="shared" si="1"/>
        <v>0</v>
      </c>
      <c r="H40" s="111"/>
      <c r="I40" s="126" t="s">
        <v>1177</v>
      </c>
      <c r="J40" s="75">
        <v>7350</v>
      </c>
      <c r="K40" s="75">
        <v>9400</v>
      </c>
      <c r="L40" s="75">
        <v>9400</v>
      </c>
      <c r="M40" s="110"/>
      <c r="N40" s="75">
        <f t="shared" si="17"/>
        <v>9400</v>
      </c>
      <c r="O40" s="110">
        <f t="shared" si="4"/>
        <v>2050</v>
      </c>
      <c r="P40" s="111">
        <f t="shared" si="19"/>
        <v>0.27891156462585</v>
      </c>
    </row>
    <row r="41" ht="18.95" customHeight="1" spans="1:16">
      <c r="A41" s="114"/>
      <c r="B41" s="115"/>
      <c r="C41" s="115"/>
      <c r="D41" s="115"/>
      <c r="E41" s="115"/>
      <c r="F41" s="115"/>
      <c r="G41" s="116">
        <f t="shared" si="1"/>
        <v>0</v>
      </c>
      <c r="H41" s="111"/>
      <c r="I41" s="126" t="s">
        <v>1178</v>
      </c>
      <c r="J41" s="75"/>
      <c r="K41" s="75"/>
      <c r="L41" s="75"/>
      <c r="M41" s="110"/>
      <c r="N41" s="75">
        <f t="shared" si="17"/>
        <v>0</v>
      </c>
      <c r="O41" s="110">
        <f t="shared" si="4"/>
        <v>0</v>
      </c>
      <c r="P41" s="111"/>
    </row>
    <row r="42" ht="18.95" customHeight="1" spans="1:16">
      <c r="A42" s="114"/>
      <c r="B42" s="115"/>
      <c r="C42" s="115"/>
      <c r="D42" s="115"/>
      <c r="E42" s="115"/>
      <c r="F42" s="115"/>
      <c r="G42" s="116">
        <f t="shared" si="1"/>
        <v>0</v>
      </c>
      <c r="H42" s="111"/>
      <c r="I42" s="149" t="s">
        <v>1179</v>
      </c>
      <c r="J42" s="71">
        <f t="shared" ref="J42:N42" si="20">SUM(J43:J48)</f>
        <v>56</v>
      </c>
      <c r="K42" s="71">
        <f t="shared" si="20"/>
        <v>255</v>
      </c>
      <c r="L42" s="71">
        <f t="shared" si="20"/>
        <v>255</v>
      </c>
      <c r="M42" s="105">
        <f t="shared" si="20"/>
        <v>0</v>
      </c>
      <c r="N42" s="71">
        <f t="shared" si="20"/>
        <v>255</v>
      </c>
      <c r="O42" s="105">
        <f t="shared" si="4"/>
        <v>199</v>
      </c>
      <c r="P42" s="106">
        <f t="shared" ref="P42:P47" si="21">O42/J42</f>
        <v>3.55357142857143</v>
      </c>
    </row>
    <row r="43" ht="27" customHeight="1" spans="1:16">
      <c r="A43" s="114"/>
      <c r="B43" s="115"/>
      <c r="C43" s="115"/>
      <c r="D43" s="115"/>
      <c r="E43" s="115"/>
      <c r="F43" s="115"/>
      <c r="G43" s="116">
        <f t="shared" si="1"/>
        <v>0</v>
      </c>
      <c r="H43" s="111"/>
      <c r="I43" s="150" t="s">
        <v>1180</v>
      </c>
      <c r="J43" s="75"/>
      <c r="K43" s="75"/>
      <c r="L43" s="75"/>
      <c r="M43" s="110"/>
      <c r="N43" s="75">
        <f t="shared" ref="N43:N48" si="22">L43+M43</f>
        <v>0</v>
      </c>
      <c r="O43" s="145">
        <f t="shared" si="4"/>
        <v>0</v>
      </c>
      <c r="P43" s="111"/>
    </row>
    <row r="44" ht="18.95" customHeight="1" spans="1:16">
      <c r="A44" s="114"/>
      <c r="B44" s="115"/>
      <c r="C44" s="115"/>
      <c r="D44" s="115"/>
      <c r="E44" s="115"/>
      <c r="F44" s="115"/>
      <c r="G44" s="116">
        <f t="shared" si="1"/>
        <v>0</v>
      </c>
      <c r="H44" s="111"/>
      <c r="I44" s="150" t="s">
        <v>1181</v>
      </c>
      <c r="J44" s="75">
        <v>7</v>
      </c>
      <c r="K44" s="75">
        <v>25</v>
      </c>
      <c r="L44" s="75">
        <v>25</v>
      </c>
      <c r="M44" s="110"/>
      <c r="N44" s="75">
        <f t="shared" si="22"/>
        <v>25</v>
      </c>
      <c r="O44" s="110">
        <f t="shared" si="4"/>
        <v>18</v>
      </c>
      <c r="P44" s="111">
        <f t="shared" si="21"/>
        <v>2.57142857142857</v>
      </c>
    </row>
    <row r="45" ht="18.95" customHeight="1" spans="1:16">
      <c r="A45" s="114"/>
      <c r="B45" s="115"/>
      <c r="C45" s="115"/>
      <c r="D45" s="115"/>
      <c r="E45" s="115"/>
      <c r="F45" s="115"/>
      <c r="G45" s="116">
        <f t="shared" si="1"/>
        <v>0</v>
      </c>
      <c r="H45" s="111"/>
      <c r="I45" s="150" t="s">
        <v>1182</v>
      </c>
      <c r="J45" s="75"/>
      <c r="K45" s="75"/>
      <c r="L45" s="75"/>
      <c r="M45" s="110"/>
      <c r="N45" s="75">
        <f t="shared" si="22"/>
        <v>0</v>
      </c>
      <c r="O45" s="110">
        <f t="shared" si="4"/>
        <v>0</v>
      </c>
      <c r="P45" s="111"/>
    </row>
    <row r="46" ht="18.95" customHeight="1" spans="1:16">
      <c r="A46" s="114"/>
      <c r="B46" s="115"/>
      <c r="C46" s="115"/>
      <c r="D46" s="115"/>
      <c r="E46" s="115"/>
      <c r="F46" s="115"/>
      <c r="G46" s="116">
        <f t="shared" si="1"/>
        <v>0</v>
      </c>
      <c r="H46" s="111"/>
      <c r="I46" s="126" t="s">
        <v>1183</v>
      </c>
      <c r="J46" s="75">
        <v>15</v>
      </c>
      <c r="K46" s="75">
        <v>130</v>
      </c>
      <c r="L46" s="75">
        <v>130</v>
      </c>
      <c r="M46" s="110"/>
      <c r="N46" s="75">
        <f t="shared" si="22"/>
        <v>130</v>
      </c>
      <c r="O46" s="110">
        <f t="shared" si="4"/>
        <v>115</v>
      </c>
      <c r="P46" s="111">
        <f t="shared" si="21"/>
        <v>7.66666666666667</v>
      </c>
    </row>
    <row r="47" ht="27" customHeight="1" spans="1:16">
      <c r="A47" s="114"/>
      <c r="B47" s="115"/>
      <c r="C47" s="115"/>
      <c r="D47" s="115"/>
      <c r="E47" s="115"/>
      <c r="F47" s="115"/>
      <c r="G47" s="116">
        <f t="shared" si="1"/>
        <v>0</v>
      </c>
      <c r="H47" s="111"/>
      <c r="I47" s="126" t="s">
        <v>1184</v>
      </c>
      <c r="J47" s="75">
        <v>34</v>
      </c>
      <c r="K47" s="75">
        <v>100</v>
      </c>
      <c r="L47" s="75">
        <v>100</v>
      </c>
      <c r="M47" s="110"/>
      <c r="N47" s="75">
        <f t="shared" si="22"/>
        <v>100</v>
      </c>
      <c r="O47" s="110">
        <f t="shared" si="4"/>
        <v>66</v>
      </c>
      <c r="P47" s="111">
        <f t="shared" si="21"/>
        <v>1.94117647058824</v>
      </c>
    </row>
    <row r="48" ht="18.95" customHeight="1" spans="1:16">
      <c r="A48" s="114"/>
      <c r="B48" s="115"/>
      <c r="C48" s="115"/>
      <c r="D48" s="115"/>
      <c r="E48" s="115"/>
      <c r="F48" s="122"/>
      <c r="G48" s="116">
        <f t="shared" si="1"/>
        <v>0</v>
      </c>
      <c r="H48" s="111"/>
      <c r="I48" s="126" t="s">
        <v>1185</v>
      </c>
      <c r="J48" s="75"/>
      <c r="K48" s="75"/>
      <c r="L48" s="75"/>
      <c r="M48" s="110"/>
      <c r="N48" s="75">
        <f t="shared" si="22"/>
        <v>0</v>
      </c>
      <c r="O48" s="145">
        <f t="shared" si="4"/>
        <v>0</v>
      </c>
      <c r="P48" s="111"/>
    </row>
    <row r="49" ht="18.95" customHeight="1" spans="1:16">
      <c r="A49" s="97" t="s">
        <v>65</v>
      </c>
      <c r="B49" s="71">
        <f t="shared" ref="B49:F49" si="23">B50+B51+B58+B59</f>
        <v>238391</v>
      </c>
      <c r="C49" s="71">
        <f t="shared" si="23"/>
        <v>85543</v>
      </c>
      <c r="D49" s="71">
        <f t="shared" si="23"/>
        <v>207643</v>
      </c>
      <c r="E49" s="105">
        <f t="shared" si="23"/>
        <v>42000</v>
      </c>
      <c r="F49" s="71">
        <f t="shared" si="23"/>
        <v>249643</v>
      </c>
      <c r="G49" s="49">
        <f t="shared" si="1"/>
        <v>11252</v>
      </c>
      <c r="H49" s="106">
        <f t="shared" ref="H49:H51" si="24">G49/B49</f>
        <v>0.0471997684476343</v>
      </c>
      <c r="I49" s="44" t="s">
        <v>1186</v>
      </c>
      <c r="J49" s="71">
        <f t="shared" ref="J49:N49" si="25">J50+J51+J52+J59</f>
        <v>37988</v>
      </c>
      <c r="K49" s="71">
        <f t="shared" si="25"/>
        <v>21206</v>
      </c>
      <c r="L49" s="71">
        <f t="shared" si="25"/>
        <v>21206</v>
      </c>
      <c r="M49" s="105">
        <f t="shared" si="25"/>
        <v>42000</v>
      </c>
      <c r="N49" s="71">
        <f t="shared" si="25"/>
        <v>63206</v>
      </c>
      <c r="O49" s="105">
        <f t="shared" si="4"/>
        <v>25218</v>
      </c>
      <c r="P49" s="106">
        <f t="shared" ref="P49:P52" si="26">O49/J49</f>
        <v>0.663841213014636</v>
      </c>
    </row>
    <row r="50" ht="18.95" customHeight="1" spans="1:16">
      <c r="A50" s="123" t="s">
        <v>1187</v>
      </c>
      <c r="B50" s="74">
        <v>15752</v>
      </c>
      <c r="C50" s="74">
        <v>5274</v>
      </c>
      <c r="D50" s="74">
        <v>5274</v>
      </c>
      <c r="E50" s="105"/>
      <c r="F50" s="74">
        <v>5274</v>
      </c>
      <c r="G50" s="105">
        <f t="shared" si="1"/>
        <v>-10478</v>
      </c>
      <c r="H50" s="106">
        <f t="shared" si="24"/>
        <v>-0.665185373285932</v>
      </c>
      <c r="I50" s="107" t="s">
        <v>1188</v>
      </c>
      <c r="J50" s="75"/>
      <c r="K50" s="75"/>
      <c r="L50" s="75"/>
      <c r="M50" s="110"/>
      <c r="N50" s="75"/>
      <c r="O50" s="110">
        <f t="shared" si="4"/>
        <v>0</v>
      </c>
      <c r="P50" s="106"/>
    </row>
    <row r="51" ht="18.95" customHeight="1" spans="1:16">
      <c r="A51" s="124" t="s">
        <v>1189</v>
      </c>
      <c r="B51" s="74">
        <f>SUM(B52:B56)</f>
        <v>70600</v>
      </c>
      <c r="C51" s="74">
        <f>SUM(C52:C56)</f>
        <v>68425</v>
      </c>
      <c r="D51" s="74">
        <f>SUM(D52:D56)</f>
        <v>190525</v>
      </c>
      <c r="E51" s="105">
        <f>SUM(E52:E57)</f>
        <v>42000</v>
      </c>
      <c r="F51" s="74">
        <f t="shared" ref="F51:F56" si="27">D51+E51</f>
        <v>232525</v>
      </c>
      <c r="G51" s="105">
        <f t="shared" si="1"/>
        <v>161925</v>
      </c>
      <c r="H51" s="106">
        <f t="shared" si="24"/>
        <v>2.2935552407932</v>
      </c>
      <c r="I51" s="107" t="s">
        <v>1190</v>
      </c>
      <c r="J51" s="74">
        <v>4073</v>
      </c>
      <c r="K51" s="74"/>
      <c r="L51" s="74"/>
      <c r="M51" s="105"/>
      <c r="N51" s="74"/>
      <c r="O51" s="105">
        <f t="shared" si="4"/>
        <v>-4073</v>
      </c>
      <c r="P51" s="106">
        <f t="shared" si="26"/>
        <v>-1</v>
      </c>
    </row>
    <row r="52" ht="27" customHeight="1" spans="1:16">
      <c r="A52" s="125" t="s">
        <v>1191</v>
      </c>
      <c r="B52" s="75"/>
      <c r="C52" s="75"/>
      <c r="D52" s="75"/>
      <c r="E52" s="110"/>
      <c r="F52" s="75"/>
      <c r="G52" s="110">
        <f t="shared" si="1"/>
        <v>0</v>
      </c>
      <c r="H52" s="106"/>
      <c r="I52" s="72" t="s">
        <v>1192</v>
      </c>
      <c r="J52" s="74">
        <f t="shared" ref="J52:N52" si="28">J53+J54+J55+J56+J58+J57</f>
        <v>22073</v>
      </c>
      <c r="K52" s="74">
        <f t="shared" si="28"/>
        <v>17711</v>
      </c>
      <c r="L52" s="74">
        <f t="shared" si="28"/>
        <v>17711</v>
      </c>
      <c r="M52" s="74">
        <f t="shared" si="28"/>
        <v>42000</v>
      </c>
      <c r="N52" s="74">
        <f t="shared" si="28"/>
        <v>59711</v>
      </c>
      <c r="O52" s="105">
        <f t="shared" si="4"/>
        <v>37638</v>
      </c>
      <c r="P52" s="106">
        <f t="shared" si="26"/>
        <v>1.70516015041</v>
      </c>
    </row>
    <row r="53" ht="29.1" customHeight="1" spans="1:16">
      <c r="A53" s="125" t="s">
        <v>1193</v>
      </c>
      <c r="B53" s="75">
        <v>7000</v>
      </c>
      <c r="C53" s="75">
        <v>13880</v>
      </c>
      <c r="D53" s="75">
        <v>13880</v>
      </c>
      <c r="E53" s="110"/>
      <c r="F53" s="75">
        <f t="shared" si="27"/>
        <v>13880</v>
      </c>
      <c r="G53" s="110">
        <f t="shared" si="1"/>
        <v>6880</v>
      </c>
      <c r="H53" s="111">
        <f t="shared" ref="H53:H56" si="29">G53/B53</f>
        <v>0.982857142857143</v>
      </c>
      <c r="I53" s="125" t="s">
        <v>1194</v>
      </c>
      <c r="J53" s="75"/>
      <c r="K53" s="75"/>
      <c r="L53" s="75"/>
      <c r="M53" s="110"/>
      <c r="N53" s="75">
        <f t="shared" ref="N53:N57" si="30">L53+M53</f>
        <v>0</v>
      </c>
      <c r="O53" s="110">
        <f t="shared" si="4"/>
        <v>0</v>
      </c>
      <c r="P53" s="111"/>
    </row>
    <row r="54" ht="18.95" customHeight="1" spans="1:16">
      <c r="A54" s="126" t="s">
        <v>1195</v>
      </c>
      <c r="B54" s="75"/>
      <c r="C54" s="75"/>
      <c r="D54" s="75"/>
      <c r="E54" s="110"/>
      <c r="F54" s="75"/>
      <c r="G54" s="110">
        <f t="shared" si="1"/>
        <v>0</v>
      </c>
      <c r="H54" s="111"/>
      <c r="I54" s="125" t="s">
        <v>1196</v>
      </c>
      <c r="J54" s="75">
        <v>22073</v>
      </c>
      <c r="K54" s="75">
        <v>14611</v>
      </c>
      <c r="L54" s="75">
        <v>14611</v>
      </c>
      <c r="M54" s="110"/>
      <c r="N54" s="75">
        <f t="shared" si="30"/>
        <v>14611</v>
      </c>
      <c r="O54" s="110">
        <f t="shared" si="4"/>
        <v>-7462</v>
      </c>
      <c r="P54" s="111">
        <f>O54/J54</f>
        <v>-0.338060073392833</v>
      </c>
    </row>
    <row r="55" ht="18.95" customHeight="1" spans="1:16">
      <c r="A55" s="126" t="s">
        <v>1197</v>
      </c>
      <c r="B55" s="75">
        <v>17000</v>
      </c>
      <c r="C55" s="75">
        <v>30000</v>
      </c>
      <c r="D55" s="75">
        <v>90000</v>
      </c>
      <c r="E55" s="110"/>
      <c r="F55" s="75">
        <f t="shared" si="27"/>
        <v>90000</v>
      </c>
      <c r="G55" s="110">
        <f t="shared" si="1"/>
        <v>73000</v>
      </c>
      <c r="H55" s="111">
        <f t="shared" si="29"/>
        <v>4.29411764705882</v>
      </c>
      <c r="I55" s="125" t="s">
        <v>1198</v>
      </c>
      <c r="J55" s="75"/>
      <c r="K55" s="75"/>
      <c r="L55" s="75"/>
      <c r="M55" s="110"/>
      <c r="N55" s="75">
        <f t="shared" si="30"/>
        <v>0</v>
      </c>
      <c r="O55" s="110">
        <f t="shared" si="4"/>
        <v>0</v>
      </c>
      <c r="P55" s="111"/>
    </row>
    <row r="56" ht="29.1" customHeight="1" spans="1:16">
      <c r="A56" s="121" t="s">
        <v>1199</v>
      </c>
      <c r="B56" s="75">
        <v>46600</v>
      </c>
      <c r="C56" s="75">
        <v>24545</v>
      </c>
      <c r="D56" s="75">
        <v>86645</v>
      </c>
      <c r="E56" s="110">
        <v>27000</v>
      </c>
      <c r="F56" s="75">
        <f t="shared" si="27"/>
        <v>113645</v>
      </c>
      <c r="G56" s="110">
        <f t="shared" si="1"/>
        <v>67045</v>
      </c>
      <c r="H56" s="111">
        <f t="shared" si="29"/>
        <v>1.4387339055794</v>
      </c>
      <c r="I56" s="125" t="s">
        <v>1200</v>
      </c>
      <c r="J56" s="75"/>
      <c r="K56" s="75"/>
      <c r="L56" s="75"/>
      <c r="M56" s="110"/>
      <c r="N56" s="75">
        <f t="shared" si="30"/>
        <v>0</v>
      </c>
      <c r="O56" s="110">
        <f t="shared" si="4"/>
        <v>0</v>
      </c>
      <c r="P56" s="111"/>
    </row>
    <row r="57" ht="29.1" customHeight="1" spans="1:16">
      <c r="A57" s="121" t="s">
        <v>1201</v>
      </c>
      <c r="B57" s="75"/>
      <c r="C57" s="75"/>
      <c r="D57" s="75"/>
      <c r="E57" s="110">
        <v>15000</v>
      </c>
      <c r="F57" s="75">
        <f>E57</f>
        <v>15000</v>
      </c>
      <c r="G57" s="110"/>
      <c r="H57" s="111"/>
      <c r="I57" s="125" t="s">
        <v>1202</v>
      </c>
      <c r="J57" s="75"/>
      <c r="K57" s="75">
        <v>3100</v>
      </c>
      <c r="L57" s="75">
        <v>3100</v>
      </c>
      <c r="M57" s="110"/>
      <c r="N57" s="75">
        <f t="shared" si="30"/>
        <v>3100</v>
      </c>
      <c r="O57" s="110">
        <f t="shared" si="4"/>
        <v>3100</v>
      </c>
      <c r="P57" s="111"/>
    </row>
    <row r="58" ht="30" customHeight="1" spans="1:16">
      <c r="A58" s="123" t="s">
        <v>1203</v>
      </c>
      <c r="B58" s="74">
        <v>144655</v>
      </c>
      <c r="C58" s="74">
        <v>11844</v>
      </c>
      <c r="D58" s="74">
        <v>11844</v>
      </c>
      <c r="E58" s="105"/>
      <c r="F58" s="74">
        <v>11844</v>
      </c>
      <c r="G58" s="105">
        <f t="shared" ref="G58:G60" si="31">F58-B58</f>
        <v>-132811</v>
      </c>
      <c r="H58" s="106">
        <f t="shared" ref="H58:H60" si="32">G58/B58</f>
        <v>-0.918122429228164</v>
      </c>
      <c r="I58" s="125" t="s">
        <v>1204</v>
      </c>
      <c r="J58" s="75"/>
      <c r="K58" s="75"/>
      <c r="L58" s="75"/>
      <c r="M58" s="110">
        <v>42000</v>
      </c>
      <c r="N58" s="75">
        <v>42000</v>
      </c>
      <c r="O58" s="110">
        <f t="shared" si="4"/>
        <v>42000</v>
      </c>
      <c r="P58" s="111"/>
    </row>
    <row r="59" ht="18.95" customHeight="1" spans="1:16">
      <c r="A59" s="123" t="s">
        <v>95</v>
      </c>
      <c r="B59" s="74">
        <v>7384</v>
      </c>
      <c r="C59" s="74"/>
      <c r="D59" s="74"/>
      <c r="E59" s="105"/>
      <c r="F59" s="74"/>
      <c r="G59" s="74">
        <f t="shared" si="31"/>
        <v>-7384</v>
      </c>
      <c r="H59" s="106">
        <f t="shared" si="32"/>
        <v>-1</v>
      </c>
      <c r="I59" s="76" t="s">
        <v>1205</v>
      </c>
      <c r="J59" s="74">
        <v>11842</v>
      </c>
      <c r="K59" s="74">
        <v>3495</v>
      </c>
      <c r="L59" s="74">
        <v>3495</v>
      </c>
      <c r="M59" s="105"/>
      <c r="N59" s="74">
        <f>L59+M59</f>
        <v>3495</v>
      </c>
      <c r="O59" s="105">
        <f t="shared" si="4"/>
        <v>-8347</v>
      </c>
      <c r="P59" s="106">
        <f>O59/J59</f>
        <v>-0.70486404323594</v>
      </c>
    </row>
    <row r="60" ht="18.95" customHeight="1" spans="1:16">
      <c r="A60" s="97" t="s">
        <v>99</v>
      </c>
      <c r="B60" s="71">
        <f t="shared" ref="B60:F60" si="33">B7+B49</f>
        <v>293541</v>
      </c>
      <c r="C60" s="71">
        <f t="shared" si="33"/>
        <v>249225.79</v>
      </c>
      <c r="D60" s="71">
        <f t="shared" si="33"/>
        <v>371325.79</v>
      </c>
      <c r="E60" s="105">
        <f t="shared" si="33"/>
        <v>-40813</v>
      </c>
      <c r="F60" s="71">
        <f t="shared" si="33"/>
        <v>330512.79</v>
      </c>
      <c r="G60" s="105">
        <f t="shared" si="31"/>
        <v>36971.79</v>
      </c>
      <c r="H60" s="106">
        <f t="shared" si="32"/>
        <v>0.125951025580754</v>
      </c>
      <c r="I60" s="44" t="s">
        <v>100</v>
      </c>
      <c r="J60" s="71">
        <f t="shared" ref="J60:N60" si="34">J7+J49</f>
        <v>293541</v>
      </c>
      <c r="K60" s="71">
        <f t="shared" si="34"/>
        <v>249226</v>
      </c>
      <c r="L60" s="71">
        <f t="shared" si="34"/>
        <v>371326</v>
      </c>
      <c r="M60" s="105">
        <f t="shared" si="34"/>
        <v>-40813.280021</v>
      </c>
      <c r="N60" s="71">
        <f t="shared" si="34"/>
        <v>330512.719979</v>
      </c>
      <c r="O60" s="105">
        <f t="shared" si="4"/>
        <v>36971.719979</v>
      </c>
      <c r="P60" s="106">
        <f>O60/J60</f>
        <v>0.125950787041674</v>
      </c>
    </row>
  </sheetData>
  <sheetProtection formatCells="0" insertHyperlinks="0" autoFilter="0"/>
  <autoFilter ref="A6:P60">
    <extLst/>
  </autoFilter>
  <mergeCells count="18">
    <mergeCell ref="A2:P2"/>
    <mergeCell ref="O3:P3"/>
    <mergeCell ref="A4:H4"/>
    <mergeCell ref="I4:P4"/>
    <mergeCell ref="G5:H5"/>
    <mergeCell ref="O5:P5"/>
    <mergeCell ref="A5:A6"/>
    <mergeCell ref="B5:B6"/>
    <mergeCell ref="C5:C6"/>
    <mergeCell ref="D5:D6"/>
    <mergeCell ref="E5:E6"/>
    <mergeCell ref="F5:F6"/>
    <mergeCell ref="I5:I6"/>
    <mergeCell ref="J5:J6"/>
    <mergeCell ref="K5:K6"/>
    <mergeCell ref="L5:L6"/>
    <mergeCell ref="M5:M6"/>
    <mergeCell ref="N5:N6"/>
  </mergeCells>
  <conditionalFormatting sqref="I57:I58">
    <cfRule type="expression" dxfId="1" priority="1" stopIfTrue="1">
      <formula>"len($A:$A)=3"</formula>
    </cfRule>
  </conditionalFormatting>
  <conditionalFormatting sqref="A52:A53 I53:I56">
    <cfRule type="expression" dxfId="1" priority="2" stopIfTrue="1">
      <formula>"len($A:$A)=3"</formula>
    </cfRule>
  </conditionalFormatting>
  <printOptions horizontalCentered="1"/>
  <pageMargins left="0.393055555555556" right="0.393055555555556" top="0.393055555555556" bottom="0.472222222222222" header="0.5" footer="0.275"/>
  <pageSetup paperSize="9" scale="68" firstPageNumber="15" fitToHeight="0" orientation="landscape" useFirstPageNumber="1" horizontalDpi="600"/>
  <headerFooter>
    <oddFooter>&amp;C第 &amp;P 页，共 78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workbookViewId="0">
      <pane ySplit="4" topLeftCell="A39" activePane="bottomLeft" state="frozen"/>
      <selection/>
      <selection pane="bottomLeft" activeCell="H58" sqref="H58"/>
    </sheetView>
  </sheetViews>
  <sheetFormatPr defaultColWidth="9" defaultRowHeight="14.25" outlineLevelCol="4"/>
  <cols>
    <col min="1" max="1" width="42.75" customWidth="1"/>
    <col min="2" max="2" width="12.5" customWidth="1"/>
    <col min="3" max="3" width="10.75" customWidth="1"/>
    <col min="4" max="4" width="10.625" customWidth="1"/>
    <col min="5" max="5" width="8.625" style="33" customWidth="1"/>
  </cols>
  <sheetData>
    <row r="1" ht="15" customHeight="1" spans="1:4">
      <c r="A1" s="34" t="s">
        <v>1206</v>
      </c>
      <c r="B1" s="35"/>
      <c r="C1" s="36"/>
      <c r="D1" s="37"/>
    </row>
    <row r="2" ht="30" customHeight="1" spans="1:5">
      <c r="A2" s="38" t="s">
        <v>1207</v>
      </c>
      <c r="B2" s="38"/>
      <c r="C2" s="38"/>
      <c r="D2" s="38"/>
      <c r="E2" s="39"/>
    </row>
    <row r="3" ht="18" spans="1:5">
      <c r="A3" s="40"/>
      <c r="B3" s="41"/>
      <c r="C3" s="36"/>
      <c r="D3" s="42" t="s">
        <v>2</v>
      </c>
      <c r="E3" s="43"/>
    </row>
    <row r="4" ht="30" customHeight="1" spans="1:5">
      <c r="A4" s="44" t="s">
        <v>5</v>
      </c>
      <c r="B4" s="45" t="s">
        <v>6</v>
      </c>
      <c r="C4" s="45" t="s">
        <v>7</v>
      </c>
      <c r="D4" s="44" t="s">
        <v>10</v>
      </c>
      <c r="E4" s="46" t="s">
        <v>104</v>
      </c>
    </row>
    <row r="5" ht="20.1" customHeight="1" spans="1:5">
      <c r="A5" s="47" t="s">
        <v>1208</v>
      </c>
      <c r="B5" s="48">
        <f>B6+B28+B34+B44+B50</f>
        <v>255553</v>
      </c>
      <c r="C5" s="49">
        <f>C6+C28+C34+C44+C50</f>
        <v>228019.8</v>
      </c>
      <c r="D5" s="49">
        <f>D6+D28+D34+D44+D50</f>
        <v>267306.503461</v>
      </c>
      <c r="E5" s="50">
        <f t="shared" ref="E5:E56" si="0">D5/B5</f>
        <v>1.04599242998908</v>
      </c>
    </row>
    <row r="6" ht="20.1" customHeight="1" spans="1:5">
      <c r="A6" s="51" t="s">
        <v>1209</v>
      </c>
      <c r="B6" s="52">
        <f>B7+B16+B19+B20+B24+B26</f>
        <v>181883</v>
      </c>
      <c r="C6" s="53">
        <f>C7+C16+C19+C20+C24+C26</f>
        <v>175084</v>
      </c>
      <c r="D6" s="53">
        <f>D7+D16+D19+D20+D24+D26</f>
        <v>152270.703461</v>
      </c>
      <c r="E6" s="50">
        <f t="shared" si="0"/>
        <v>0.837190410654102</v>
      </c>
    </row>
    <row r="7" ht="20.1" customHeight="1" spans="1:5">
      <c r="A7" s="51" t="s">
        <v>1210</v>
      </c>
      <c r="B7" s="52">
        <f>SUM(B8:B15)</f>
        <v>32040</v>
      </c>
      <c r="C7" s="53">
        <f>SUM(C8:C15)</f>
        <v>133371</v>
      </c>
      <c r="D7" s="53">
        <f>SUM(D8:D15)</f>
        <v>59964.715052</v>
      </c>
      <c r="E7" s="50">
        <f t="shared" si="0"/>
        <v>1.8715578980025</v>
      </c>
    </row>
    <row r="8" ht="20.1" customHeight="1" spans="1:5">
      <c r="A8" s="30" t="s">
        <v>1211</v>
      </c>
      <c r="B8" s="54">
        <v>6751</v>
      </c>
      <c r="C8" s="55">
        <v>8800</v>
      </c>
      <c r="D8" s="55">
        <f>C8-3360.24</f>
        <v>5439.76</v>
      </c>
      <c r="E8" s="56">
        <f t="shared" si="0"/>
        <v>0.80577099688935</v>
      </c>
    </row>
    <row r="9" ht="20.1" customHeight="1" spans="1:5">
      <c r="A9" s="30" t="s">
        <v>1212</v>
      </c>
      <c r="B9" s="54">
        <v>887</v>
      </c>
      <c r="C9" s="55"/>
      <c r="D9" s="55"/>
      <c r="E9" s="56">
        <f t="shared" si="0"/>
        <v>0</v>
      </c>
    </row>
    <row r="10" ht="20.1" customHeight="1" spans="1:5">
      <c r="A10" s="30" t="s">
        <v>1213</v>
      </c>
      <c r="B10" s="54">
        <v>1165</v>
      </c>
      <c r="C10" s="55">
        <v>16998</v>
      </c>
      <c r="D10" s="55">
        <v>5386.011422</v>
      </c>
      <c r="E10" s="56">
        <f t="shared" si="0"/>
        <v>4.62318576995708</v>
      </c>
    </row>
    <row r="11" ht="20.1" customHeight="1" spans="1:5">
      <c r="A11" s="30" t="s">
        <v>1214</v>
      </c>
      <c r="B11" s="54"/>
      <c r="C11" s="55">
        <v>704</v>
      </c>
      <c r="D11" s="55">
        <v>18.5431579999999</v>
      </c>
      <c r="E11" s="56"/>
    </row>
    <row r="12" ht="20.1" customHeight="1" spans="1:5">
      <c r="A12" s="57" t="s">
        <v>1215</v>
      </c>
      <c r="B12" s="58">
        <v>3903</v>
      </c>
      <c r="C12" s="55">
        <v>14949</v>
      </c>
      <c r="D12" s="55">
        <v>3697.775027</v>
      </c>
      <c r="E12" s="56">
        <f t="shared" si="0"/>
        <v>0.947418659236485</v>
      </c>
    </row>
    <row r="13" ht="20.1" customHeight="1" spans="1:5">
      <c r="A13" s="30" t="s">
        <v>1216</v>
      </c>
      <c r="B13" s="54">
        <v>1643</v>
      </c>
      <c r="C13" s="59">
        <v>7919</v>
      </c>
      <c r="D13" s="59">
        <v>5975.354999</v>
      </c>
      <c r="E13" s="56">
        <f t="shared" si="0"/>
        <v>3.63685635970785</v>
      </c>
    </row>
    <row r="14" ht="20.1" customHeight="1" spans="1:5">
      <c r="A14" s="30" t="s">
        <v>1217</v>
      </c>
      <c r="B14" s="54">
        <v>2423</v>
      </c>
      <c r="C14" s="59">
        <v>15269</v>
      </c>
      <c r="D14" s="59">
        <v>5620.731885</v>
      </c>
      <c r="E14" s="56">
        <f t="shared" si="0"/>
        <v>2.31974076970697</v>
      </c>
    </row>
    <row r="15" ht="20.1" customHeight="1" spans="1:5">
      <c r="A15" s="30" t="s">
        <v>1218</v>
      </c>
      <c r="B15" s="54">
        <v>15268</v>
      </c>
      <c r="C15" s="60">
        <v>68732</v>
      </c>
      <c r="D15" s="60">
        <v>33826.538561</v>
      </c>
      <c r="E15" s="56">
        <f t="shared" si="0"/>
        <v>2.21551863773906</v>
      </c>
    </row>
    <row r="16" ht="20.1" customHeight="1" spans="1:5">
      <c r="A16" s="61" t="s">
        <v>1219</v>
      </c>
      <c r="B16" s="49">
        <f>B17+B18</f>
        <v>1141</v>
      </c>
      <c r="C16" s="53">
        <f>SUM(C17:C17)</f>
        <v>5000</v>
      </c>
      <c r="D16" s="53">
        <f>D17+D18</f>
        <v>25.46</v>
      </c>
      <c r="E16" s="50">
        <f t="shared" si="0"/>
        <v>0.0223137598597721</v>
      </c>
    </row>
    <row r="17" ht="20.1" customHeight="1" spans="1:5">
      <c r="A17" s="57" t="s">
        <v>1220</v>
      </c>
      <c r="B17" s="58"/>
      <c r="C17" s="59">
        <v>5000</v>
      </c>
      <c r="D17" s="59">
        <f>C17-4974.54</f>
        <v>25.46</v>
      </c>
      <c r="E17" s="50"/>
    </row>
    <row r="18" ht="20.1" customHeight="1" spans="1:5">
      <c r="A18" s="57" t="s">
        <v>1221</v>
      </c>
      <c r="B18" s="58">
        <v>1141</v>
      </c>
      <c r="C18" s="59"/>
      <c r="D18" s="59"/>
      <c r="E18" s="56">
        <f t="shared" si="0"/>
        <v>0</v>
      </c>
    </row>
    <row r="19" ht="20.1" customHeight="1" spans="1:5">
      <c r="A19" s="61" t="s">
        <v>1222</v>
      </c>
      <c r="B19" s="49">
        <v>194</v>
      </c>
      <c r="C19" s="62">
        <v>496</v>
      </c>
      <c r="D19" s="62">
        <v>192.030194</v>
      </c>
      <c r="E19" s="50">
        <f t="shared" si="0"/>
        <v>0.989846360824742</v>
      </c>
    </row>
    <row r="20" ht="20.1" customHeight="1" spans="1:5">
      <c r="A20" s="61" t="s">
        <v>1223</v>
      </c>
      <c r="B20" s="49">
        <f>SUM(B21:B23)</f>
        <v>2218</v>
      </c>
      <c r="C20" s="53">
        <f>SUM(C21:C23)</f>
        <v>4717</v>
      </c>
      <c r="D20" s="53">
        <f>SUM(D21:D23)</f>
        <v>1846.133215</v>
      </c>
      <c r="E20" s="50">
        <f t="shared" si="0"/>
        <v>0.832341395401262</v>
      </c>
    </row>
    <row r="21" ht="20.1" customHeight="1" spans="1:5">
      <c r="A21" s="30" t="s">
        <v>1224</v>
      </c>
      <c r="B21" s="54">
        <v>90</v>
      </c>
      <c r="C21" s="59">
        <v>1067</v>
      </c>
      <c r="D21" s="59">
        <f>1067-682.24</f>
        <v>384.76</v>
      </c>
      <c r="E21" s="56">
        <f t="shared" si="0"/>
        <v>4.27511111111111</v>
      </c>
    </row>
    <row r="22" ht="20.1" customHeight="1" spans="1:5">
      <c r="A22" s="30" t="s">
        <v>1225</v>
      </c>
      <c r="B22" s="54">
        <v>309</v>
      </c>
      <c r="C22" s="59"/>
      <c r="D22" s="59"/>
      <c r="E22" s="56">
        <f t="shared" si="0"/>
        <v>0</v>
      </c>
    </row>
    <row r="23" ht="20.1" customHeight="1" spans="1:5">
      <c r="A23" s="57" t="s">
        <v>1226</v>
      </c>
      <c r="B23" s="58">
        <v>1819</v>
      </c>
      <c r="C23" s="59">
        <v>3650</v>
      </c>
      <c r="D23" s="59">
        <v>1461.373215</v>
      </c>
      <c r="E23" s="56">
        <f t="shared" si="0"/>
        <v>0.80339374106652</v>
      </c>
    </row>
    <row r="24" ht="20.1" customHeight="1" spans="1:5">
      <c r="A24" s="51" t="s">
        <v>1227</v>
      </c>
      <c r="B24" s="52"/>
      <c r="C24" s="53">
        <f t="shared" ref="C24:C29" si="1">SUM(C25:C25)</f>
        <v>1500</v>
      </c>
      <c r="D24" s="53">
        <f t="shared" ref="D24:D29" si="2">SUM(D25:D25)</f>
        <v>242.365</v>
      </c>
      <c r="E24" s="50"/>
    </row>
    <row r="25" ht="20.1" customHeight="1" spans="1:5">
      <c r="A25" s="57" t="s">
        <v>1228</v>
      </c>
      <c r="B25" s="58"/>
      <c r="C25" s="59">
        <v>1500</v>
      </c>
      <c r="D25" s="59">
        <v>242.365</v>
      </c>
      <c r="E25" s="56"/>
    </row>
    <row r="26" ht="20.1" customHeight="1" spans="1:5">
      <c r="A26" s="63" t="s">
        <v>1229</v>
      </c>
      <c r="B26" s="64">
        <f>B27</f>
        <v>146290</v>
      </c>
      <c r="C26" s="53">
        <f t="shared" si="1"/>
        <v>30000</v>
      </c>
      <c r="D26" s="53">
        <f t="shared" si="2"/>
        <v>90000</v>
      </c>
      <c r="E26" s="50">
        <f t="shared" si="0"/>
        <v>0.615216351083464</v>
      </c>
    </row>
    <row r="27" ht="20.1" customHeight="1" spans="1:5">
      <c r="A27" s="65" t="s">
        <v>1230</v>
      </c>
      <c r="B27" s="66">
        <v>146290</v>
      </c>
      <c r="C27" s="59">
        <v>30000</v>
      </c>
      <c r="D27" s="59">
        <v>90000</v>
      </c>
      <c r="E27" s="56">
        <f t="shared" si="0"/>
        <v>0.615216351083464</v>
      </c>
    </row>
    <row r="28" ht="20.1" customHeight="1" spans="1:5">
      <c r="A28" s="61" t="s">
        <v>1231</v>
      </c>
      <c r="B28" s="49">
        <f>B29+B31</f>
        <v>2220</v>
      </c>
      <c r="C28" s="53">
        <f>C29+C31</f>
        <v>8101.8</v>
      </c>
      <c r="D28" s="53">
        <f>D29+D31</f>
        <v>8101.8</v>
      </c>
      <c r="E28" s="50">
        <f t="shared" si="0"/>
        <v>3.64945945945946</v>
      </c>
    </row>
    <row r="29" ht="20.1" customHeight="1" spans="1:5">
      <c r="A29" s="61" t="s">
        <v>1232</v>
      </c>
      <c r="B29" s="49">
        <f>B30</f>
        <v>237</v>
      </c>
      <c r="C29" s="53">
        <f t="shared" si="1"/>
        <v>3425</v>
      </c>
      <c r="D29" s="53">
        <f t="shared" si="2"/>
        <v>3425</v>
      </c>
      <c r="E29" s="50">
        <f t="shared" si="0"/>
        <v>14.4514767932489</v>
      </c>
    </row>
    <row r="30" ht="20.1" customHeight="1" spans="1:5">
      <c r="A30" s="30" t="s">
        <v>1233</v>
      </c>
      <c r="B30" s="54">
        <v>237</v>
      </c>
      <c r="C30" s="55">
        <v>3425</v>
      </c>
      <c r="D30" s="55">
        <v>3425</v>
      </c>
      <c r="E30" s="56">
        <f t="shared" si="0"/>
        <v>14.4514767932489</v>
      </c>
    </row>
    <row r="31" ht="20.1" customHeight="1" spans="1:5">
      <c r="A31" s="61" t="s">
        <v>1234</v>
      </c>
      <c r="B31" s="49">
        <f>B32+B33</f>
        <v>1983</v>
      </c>
      <c r="C31" s="67">
        <f>C32+C33</f>
        <v>4676.8</v>
      </c>
      <c r="D31" s="67">
        <f>D32+D33</f>
        <v>4676.8</v>
      </c>
      <c r="E31" s="50">
        <f t="shared" si="0"/>
        <v>2.35844679778114</v>
      </c>
    </row>
    <row r="32" ht="20.1" customHeight="1" spans="1:5">
      <c r="A32" s="30" t="s">
        <v>1235</v>
      </c>
      <c r="B32" s="55">
        <v>1143</v>
      </c>
      <c r="C32" s="55">
        <v>1271.8</v>
      </c>
      <c r="D32" s="55">
        <v>1271.8</v>
      </c>
      <c r="E32" s="56">
        <f t="shared" si="0"/>
        <v>1.11268591426072</v>
      </c>
    </row>
    <row r="33" ht="20.1" customHeight="1" spans="1:5">
      <c r="A33" s="30" t="s">
        <v>1236</v>
      </c>
      <c r="B33" s="55">
        <v>840</v>
      </c>
      <c r="C33" s="55">
        <v>3405</v>
      </c>
      <c r="D33" s="55">
        <v>3405</v>
      </c>
      <c r="E33" s="56">
        <f t="shared" si="0"/>
        <v>4.05357142857143</v>
      </c>
    </row>
    <row r="34" ht="20.1" customHeight="1" spans="1:5">
      <c r="A34" s="63" t="s">
        <v>1237</v>
      </c>
      <c r="B34" s="64">
        <f>B35+B37+B39</f>
        <v>53406</v>
      </c>
      <c r="C34" s="53">
        <f>C35+C37+C39</f>
        <v>24466</v>
      </c>
      <c r="D34" s="53">
        <f>D35+D37+D39</f>
        <v>86566</v>
      </c>
      <c r="E34" s="50">
        <f t="shared" si="0"/>
        <v>1.6209040182751</v>
      </c>
    </row>
    <row r="35" ht="27.95" customHeight="1" spans="1:5">
      <c r="A35" s="68" t="s">
        <v>1238</v>
      </c>
      <c r="B35" s="52">
        <f>B36</f>
        <v>52156</v>
      </c>
      <c r="C35" s="62">
        <f>SUM(C36:C36)</f>
        <v>23965</v>
      </c>
      <c r="D35" s="62">
        <f>SUM(D36:D36)</f>
        <v>86065</v>
      </c>
      <c r="E35" s="50">
        <f t="shared" si="0"/>
        <v>1.65014571669607</v>
      </c>
    </row>
    <row r="36" ht="29.1" customHeight="1" spans="1:5">
      <c r="A36" s="30" t="s">
        <v>1239</v>
      </c>
      <c r="B36" s="54">
        <v>52156</v>
      </c>
      <c r="C36" s="59">
        <v>23965</v>
      </c>
      <c r="D36" s="59">
        <v>86065</v>
      </c>
      <c r="E36" s="56">
        <f t="shared" si="0"/>
        <v>1.65014571669607</v>
      </c>
    </row>
    <row r="37" ht="20.1" customHeight="1" spans="1:5">
      <c r="A37" s="68" t="s">
        <v>1240</v>
      </c>
      <c r="B37" s="52">
        <f>B38</f>
        <v>11</v>
      </c>
      <c r="C37" s="67">
        <f>SUM(C38:C38)</f>
        <v>14</v>
      </c>
      <c r="D37" s="67">
        <f>SUM(D38:D38)</f>
        <v>14</v>
      </c>
      <c r="E37" s="50">
        <f t="shared" si="0"/>
        <v>1.27272727272727</v>
      </c>
    </row>
    <row r="38" ht="20.1" customHeight="1" spans="1:5">
      <c r="A38" s="30" t="s">
        <v>1241</v>
      </c>
      <c r="B38" s="54">
        <v>11</v>
      </c>
      <c r="C38" s="55">
        <v>14</v>
      </c>
      <c r="D38" s="55">
        <v>14</v>
      </c>
      <c r="E38" s="56">
        <f t="shared" si="0"/>
        <v>1.27272727272727</v>
      </c>
    </row>
    <row r="39" ht="20.1" customHeight="1" spans="1:5">
      <c r="A39" s="61" t="s">
        <v>1242</v>
      </c>
      <c r="B39" s="49">
        <f>SUM(B40:B43)</f>
        <v>1239</v>
      </c>
      <c r="C39" s="67">
        <f>SUM(C40:C43)</f>
        <v>487</v>
      </c>
      <c r="D39" s="67">
        <f>SUM(D40:D43)</f>
        <v>487</v>
      </c>
      <c r="E39" s="50">
        <f t="shared" si="0"/>
        <v>0.393058918482647</v>
      </c>
    </row>
    <row r="40" ht="20.1" customHeight="1" spans="1:5">
      <c r="A40" s="30" t="s">
        <v>1243</v>
      </c>
      <c r="B40" s="54">
        <v>140</v>
      </c>
      <c r="C40" s="55">
        <v>304</v>
      </c>
      <c r="D40" s="55">
        <f>304</f>
        <v>304</v>
      </c>
      <c r="E40" s="56">
        <f t="shared" si="0"/>
        <v>2.17142857142857</v>
      </c>
    </row>
    <row r="41" ht="20.1" customHeight="1" spans="1:5">
      <c r="A41" s="30" t="s">
        <v>1244</v>
      </c>
      <c r="B41" s="54">
        <v>16</v>
      </c>
      <c r="C41" s="55">
        <v>56</v>
      </c>
      <c r="D41" s="55">
        <f>56</f>
        <v>56</v>
      </c>
      <c r="E41" s="56">
        <f t="shared" si="0"/>
        <v>3.5</v>
      </c>
    </row>
    <row r="42" ht="20.1" customHeight="1" spans="1:5">
      <c r="A42" s="30" t="s">
        <v>1245</v>
      </c>
      <c r="B42" s="54">
        <v>1000</v>
      </c>
      <c r="C42" s="55"/>
      <c r="D42" s="55"/>
      <c r="E42" s="56">
        <f t="shared" si="0"/>
        <v>0</v>
      </c>
    </row>
    <row r="43" ht="20.1" customHeight="1" spans="1:5">
      <c r="A43" s="30" t="s">
        <v>1246</v>
      </c>
      <c r="B43" s="54">
        <v>83</v>
      </c>
      <c r="C43" s="59">
        <v>127</v>
      </c>
      <c r="D43" s="59">
        <v>127</v>
      </c>
      <c r="E43" s="56">
        <f t="shared" si="0"/>
        <v>1.53012048192771</v>
      </c>
    </row>
    <row r="44" ht="20.1" customHeight="1" spans="1:5">
      <c r="A44" s="61" t="s">
        <v>1247</v>
      </c>
      <c r="B44" s="49">
        <f>B45</f>
        <v>17988</v>
      </c>
      <c r="C44" s="62">
        <f>C45</f>
        <v>20113</v>
      </c>
      <c r="D44" s="62">
        <f>D45</f>
        <v>20113</v>
      </c>
      <c r="E44" s="50">
        <f t="shared" si="0"/>
        <v>1.1181343117634</v>
      </c>
    </row>
    <row r="45" ht="20.1" customHeight="1" spans="1:5">
      <c r="A45" s="68" t="s">
        <v>1248</v>
      </c>
      <c r="B45" s="52">
        <f>SUM(B46:B48)</f>
        <v>17988</v>
      </c>
      <c r="C45" s="62">
        <f>SUM(C46:C48)</f>
        <v>20113</v>
      </c>
      <c r="D45" s="62">
        <f>SUM(D46:D48)</f>
        <v>20113</v>
      </c>
      <c r="E45" s="50">
        <f t="shared" si="0"/>
        <v>1.1181343117634</v>
      </c>
    </row>
    <row r="46" ht="20.1" customHeight="1" spans="1:5">
      <c r="A46" s="30" t="s">
        <v>1249</v>
      </c>
      <c r="B46" s="54">
        <v>4006</v>
      </c>
      <c r="C46" s="60">
        <v>3651</v>
      </c>
      <c r="D46" s="60">
        <v>3651</v>
      </c>
      <c r="E46" s="56">
        <f t="shared" si="0"/>
        <v>0.911382925611583</v>
      </c>
    </row>
    <row r="47" ht="20.1" customHeight="1" spans="1:5">
      <c r="A47" s="69" t="s">
        <v>1250</v>
      </c>
      <c r="B47" s="58">
        <v>6632</v>
      </c>
      <c r="C47" s="60">
        <v>7062</v>
      </c>
      <c r="D47" s="60">
        <v>7062</v>
      </c>
      <c r="E47" s="56">
        <f t="shared" si="0"/>
        <v>1.06483715319662</v>
      </c>
    </row>
    <row r="48" ht="30.95" customHeight="1" spans="1:5">
      <c r="A48" s="69" t="s">
        <v>1251</v>
      </c>
      <c r="B48" s="58">
        <v>7350</v>
      </c>
      <c r="C48" s="60">
        <v>9400</v>
      </c>
      <c r="D48" s="60">
        <v>9400</v>
      </c>
      <c r="E48" s="56">
        <f t="shared" si="0"/>
        <v>1.27891156462585</v>
      </c>
    </row>
    <row r="49" ht="20.1" customHeight="1" spans="1:5">
      <c r="A49" s="68" t="s">
        <v>1252</v>
      </c>
      <c r="B49" s="52">
        <f>B50</f>
        <v>56</v>
      </c>
      <c r="C49" s="62">
        <f>C50</f>
        <v>255</v>
      </c>
      <c r="D49" s="62">
        <f>D50</f>
        <v>255</v>
      </c>
      <c r="E49" s="50">
        <f t="shared" si="0"/>
        <v>4.55357142857143</v>
      </c>
    </row>
    <row r="50" ht="20.1" customHeight="1" spans="1:5">
      <c r="A50" s="68" t="s">
        <v>1253</v>
      </c>
      <c r="B50" s="52">
        <f>SUM(B51:B53)</f>
        <v>56</v>
      </c>
      <c r="C50" s="67">
        <f>SUM(C51:C53)</f>
        <v>255</v>
      </c>
      <c r="D50" s="67">
        <f>SUM(D51:D53)</f>
        <v>255</v>
      </c>
      <c r="E50" s="50">
        <f t="shared" si="0"/>
        <v>4.55357142857143</v>
      </c>
    </row>
    <row r="51" ht="20.1" customHeight="1" spans="1:5">
      <c r="A51" s="69" t="s">
        <v>1254</v>
      </c>
      <c r="B51" s="58">
        <v>7</v>
      </c>
      <c r="C51" s="55">
        <v>25</v>
      </c>
      <c r="D51" s="55">
        <v>25</v>
      </c>
      <c r="E51" s="56">
        <f t="shared" si="0"/>
        <v>3.57142857142857</v>
      </c>
    </row>
    <row r="52" ht="20.1" customHeight="1" spans="1:5">
      <c r="A52" s="69" t="s">
        <v>1255</v>
      </c>
      <c r="B52" s="58">
        <v>15</v>
      </c>
      <c r="C52" s="59">
        <v>130</v>
      </c>
      <c r="D52" s="59">
        <v>130</v>
      </c>
      <c r="E52" s="56">
        <f t="shared" si="0"/>
        <v>8.66666666666667</v>
      </c>
    </row>
    <row r="53" ht="30" customHeight="1" spans="1:5">
      <c r="A53" s="69" t="s">
        <v>1256</v>
      </c>
      <c r="B53" s="58">
        <v>34</v>
      </c>
      <c r="C53" s="60">
        <v>100</v>
      </c>
      <c r="D53" s="60">
        <v>100</v>
      </c>
      <c r="E53" s="56">
        <f t="shared" si="0"/>
        <v>2.94117647058824</v>
      </c>
    </row>
    <row r="54" ht="20.1" customHeight="1" spans="1:5">
      <c r="A54" s="44" t="s">
        <v>1257</v>
      </c>
      <c r="B54" s="70">
        <f>B55+B60+B59</f>
        <v>37988</v>
      </c>
      <c r="C54" s="71">
        <f>C55+C60</f>
        <v>21206</v>
      </c>
      <c r="D54" s="71">
        <f>D55+D60</f>
        <v>63206</v>
      </c>
      <c r="E54" s="50">
        <f t="shared" si="0"/>
        <v>1.66384121301464</v>
      </c>
    </row>
    <row r="55" ht="20.1" customHeight="1" spans="1:5">
      <c r="A55" s="72" t="s">
        <v>1258</v>
      </c>
      <c r="B55" s="73">
        <f>B56+B57</f>
        <v>22073</v>
      </c>
      <c r="C55" s="74">
        <f>C56+C57</f>
        <v>17711</v>
      </c>
      <c r="D55" s="74">
        <f>D56+D57+D58</f>
        <v>59711</v>
      </c>
      <c r="E55" s="50">
        <f t="shared" si="0"/>
        <v>2.70516015041</v>
      </c>
    </row>
    <row r="56" ht="20.1" customHeight="1" spans="1:5">
      <c r="A56" s="69" t="s">
        <v>1259</v>
      </c>
      <c r="B56" s="58">
        <v>22073</v>
      </c>
      <c r="C56" s="75">
        <v>14611</v>
      </c>
      <c r="D56" s="75">
        <v>14611</v>
      </c>
      <c r="E56" s="56">
        <f t="shared" si="0"/>
        <v>0.661939926607167</v>
      </c>
    </row>
    <row r="57" ht="27.95" customHeight="1" spans="1:5">
      <c r="A57" s="69" t="s">
        <v>1260</v>
      </c>
      <c r="B57" s="58"/>
      <c r="C57" s="75">
        <v>3100</v>
      </c>
      <c r="D57" s="75">
        <v>3100</v>
      </c>
      <c r="E57" s="56"/>
    </row>
    <row r="58" ht="23.1" customHeight="1" spans="1:5">
      <c r="A58" s="69" t="s">
        <v>1261</v>
      </c>
      <c r="B58" s="58"/>
      <c r="C58" s="75"/>
      <c r="D58" s="75">
        <v>42000</v>
      </c>
      <c r="E58" s="56"/>
    </row>
    <row r="59" ht="20.1" customHeight="1" spans="1:5">
      <c r="A59" s="76" t="s">
        <v>1190</v>
      </c>
      <c r="B59" s="52">
        <v>4073</v>
      </c>
      <c r="C59" s="74"/>
      <c r="D59" s="74"/>
      <c r="E59" s="50">
        <f>D59/B59</f>
        <v>0</v>
      </c>
    </row>
    <row r="60" ht="20.1" customHeight="1" spans="1:5">
      <c r="A60" s="76" t="s">
        <v>1262</v>
      </c>
      <c r="B60" s="77">
        <v>11842</v>
      </c>
      <c r="C60" s="74">
        <v>3495</v>
      </c>
      <c r="D60" s="74">
        <v>3495</v>
      </c>
      <c r="E60" s="50">
        <f>D60/B60</f>
        <v>0.29513595676406</v>
      </c>
    </row>
    <row r="61" ht="20.1" customHeight="1" spans="1:5">
      <c r="A61" s="44" t="s">
        <v>100</v>
      </c>
      <c r="B61" s="70">
        <f>B5+B54</f>
        <v>293541</v>
      </c>
      <c r="C61" s="71">
        <f>C5+C54</f>
        <v>249225.8</v>
      </c>
      <c r="D61" s="71">
        <f>D5+D54</f>
        <v>330512.503461</v>
      </c>
      <c r="E61" s="50">
        <f>D61/B61</f>
        <v>1.12595004943432</v>
      </c>
    </row>
  </sheetData>
  <sheetProtection formatCells="0" insertHyperlinks="0" autoFilter="0"/>
  <mergeCells count="2">
    <mergeCell ref="A2:E2"/>
    <mergeCell ref="D3:E3"/>
  </mergeCells>
  <printOptions horizontalCentered="1"/>
  <pageMargins left="0.393055555555556" right="0.393055555555556" top="0.590277777777778" bottom="0.590277777777778" header="0.5" footer="0.354166666666667"/>
  <pageSetup paperSize="9" firstPageNumber="17" orientation="portrait" useFirstPageNumber="1" horizontalDpi="600"/>
  <headerFooter>
    <oddFooter>&amp;C第 &amp;P 页，共 78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H6" sqref="H6"/>
    </sheetView>
  </sheetViews>
  <sheetFormatPr defaultColWidth="9" defaultRowHeight="14.25" outlineLevelCol="3"/>
  <cols>
    <col min="1" max="1" width="5.25" style="14" customWidth="1"/>
    <col min="2" max="2" width="22.875" style="14" customWidth="1"/>
    <col min="3" max="3" width="33.25" style="14" customWidth="1"/>
    <col min="4" max="4" width="14.375" style="15" customWidth="1"/>
    <col min="5" max="16381" width="9" style="14"/>
  </cols>
  <sheetData>
    <row r="1" ht="20.1" customHeight="1" spans="1:2">
      <c r="A1" s="16" t="s">
        <v>1263</v>
      </c>
      <c r="B1" s="16"/>
    </row>
    <row r="2" ht="30.95" customHeight="1" spans="1:4">
      <c r="A2" s="17" t="s">
        <v>1264</v>
      </c>
      <c r="B2" s="17"/>
      <c r="C2" s="17"/>
      <c r="D2" s="18"/>
    </row>
    <row r="3" spans="4:4">
      <c r="D3" s="19" t="s">
        <v>2</v>
      </c>
    </row>
    <row r="4" s="11" customFormat="1" ht="26.1" customHeight="1" spans="1:4">
      <c r="A4" s="20" t="s">
        <v>1265</v>
      </c>
      <c r="B4" s="20" t="s">
        <v>1266</v>
      </c>
      <c r="C4" s="20" t="s">
        <v>1267</v>
      </c>
      <c r="D4" s="21" t="s">
        <v>1268</v>
      </c>
    </row>
    <row r="5" s="11" customFormat="1" ht="31" customHeight="1" spans="1:4">
      <c r="A5" s="22">
        <v>1</v>
      </c>
      <c r="B5" s="23" t="s">
        <v>1269</v>
      </c>
      <c r="C5" s="23" t="s">
        <v>1270</v>
      </c>
      <c r="D5" s="24">
        <v>18434.21</v>
      </c>
    </row>
    <row r="6" s="11" customFormat="1" ht="31" customHeight="1" spans="1:4">
      <c r="A6" s="22">
        <v>2</v>
      </c>
      <c r="B6" s="25" t="s">
        <v>1271</v>
      </c>
      <c r="C6" s="26" t="s">
        <v>1272</v>
      </c>
      <c r="D6" s="24">
        <v>5331.58</v>
      </c>
    </row>
    <row r="7" s="11" customFormat="1" ht="31" customHeight="1" spans="1:4">
      <c r="A7" s="22">
        <v>3</v>
      </c>
      <c r="B7" s="27" t="s">
        <v>1273</v>
      </c>
      <c r="C7" s="28" t="s">
        <v>1274</v>
      </c>
      <c r="D7" s="24">
        <v>2500</v>
      </c>
    </row>
    <row r="8" s="11" customFormat="1" ht="31" customHeight="1" spans="1:4">
      <c r="A8" s="22">
        <v>4</v>
      </c>
      <c r="B8" s="27" t="s">
        <v>1275</v>
      </c>
      <c r="C8" s="28" t="s">
        <v>1276</v>
      </c>
      <c r="D8" s="24">
        <v>300.54</v>
      </c>
    </row>
    <row r="9" s="11" customFormat="1" ht="31" customHeight="1" spans="1:4">
      <c r="A9" s="22">
        <v>5</v>
      </c>
      <c r="B9" s="27" t="s">
        <v>1275</v>
      </c>
      <c r="C9" s="28" t="s">
        <v>1277</v>
      </c>
      <c r="D9" s="24">
        <v>433.67</v>
      </c>
    </row>
    <row r="10" s="12" customFormat="1" ht="30" customHeight="1" spans="1:4">
      <c r="A10" s="22">
        <v>6</v>
      </c>
      <c r="B10" s="23" t="s">
        <v>1278</v>
      </c>
      <c r="C10" s="26" t="s">
        <v>1279</v>
      </c>
      <c r="D10" s="29">
        <v>3500</v>
      </c>
    </row>
    <row r="11" s="12" customFormat="1" ht="30" customHeight="1" spans="1:4">
      <c r="A11" s="22">
        <v>7</v>
      </c>
      <c r="B11" s="23" t="s">
        <v>1278</v>
      </c>
      <c r="C11" s="30" t="s">
        <v>1280</v>
      </c>
      <c r="D11" s="29">
        <v>879.81</v>
      </c>
    </row>
    <row r="12" s="12" customFormat="1" ht="30" customHeight="1" spans="1:4">
      <c r="A12" s="22">
        <v>8</v>
      </c>
      <c r="B12" s="23" t="s">
        <v>1278</v>
      </c>
      <c r="C12" s="30" t="s">
        <v>1281</v>
      </c>
      <c r="D12" s="29">
        <f>411.35+10.8039</f>
        <v>422.1539</v>
      </c>
    </row>
    <row r="13" s="12" customFormat="1" ht="30" customHeight="1" spans="1:4">
      <c r="A13" s="22">
        <v>9</v>
      </c>
      <c r="B13" s="23" t="s">
        <v>1278</v>
      </c>
      <c r="C13" s="30" t="s">
        <v>1282</v>
      </c>
      <c r="D13" s="29">
        <v>191.0361</v>
      </c>
    </row>
    <row r="14" s="12" customFormat="1" ht="30" customHeight="1" spans="1:4">
      <c r="A14" s="22">
        <v>10</v>
      </c>
      <c r="B14" s="23" t="s">
        <v>1278</v>
      </c>
      <c r="C14" s="30" t="s">
        <v>1283</v>
      </c>
      <c r="D14" s="29">
        <v>100</v>
      </c>
    </row>
    <row r="15" s="12" customFormat="1" ht="30" customHeight="1" spans="1:4">
      <c r="A15" s="22">
        <v>11</v>
      </c>
      <c r="B15" s="27" t="s">
        <v>1273</v>
      </c>
      <c r="C15" s="30" t="s">
        <v>1284</v>
      </c>
      <c r="D15" s="29">
        <v>1804</v>
      </c>
    </row>
    <row r="16" s="12" customFormat="1" ht="30" customHeight="1" spans="1:4">
      <c r="A16" s="22">
        <v>12</v>
      </c>
      <c r="B16" s="27" t="s">
        <v>1273</v>
      </c>
      <c r="C16" s="30" t="s">
        <v>1285</v>
      </c>
      <c r="D16" s="29">
        <v>1346</v>
      </c>
    </row>
    <row r="17" s="12" customFormat="1" ht="30" customHeight="1" spans="1:4">
      <c r="A17" s="22">
        <v>13</v>
      </c>
      <c r="B17" s="30" t="s">
        <v>1286</v>
      </c>
      <c r="C17" s="30" t="s">
        <v>1287</v>
      </c>
      <c r="D17" s="29">
        <v>1500</v>
      </c>
    </row>
    <row r="18" s="12" customFormat="1" ht="30" customHeight="1" spans="1:4">
      <c r="A18" s="22">
        <v>14</v>
      </c>
      <c r="B18" s="30" t="s">
        <v>1286</v>
      </c>
      <c r="C18" s="30" t="s">
        <v>1288</v>
      </c>
      <c r="D18" s="29">
        <v>300</v>
      </c>
    </row>
    <row r="19" s="12" customFormat="1" ht="30" customHeight="1" spans="1:4">
      <c r="A19" s="22">
        <v>15</v>
      </c>
      <c r="B19" s="30" t="s">
        <v>1289</v>
      </c>
      <c r="C19" s="30" t="s">
        <v>1290</v>
      </c>
      <c r="D19" s="29">
        <v>1400</v>
      </c>
    </row>
    <row r="20" s="12" customFormat="1" ht="30" customHeight="1" spans="1:4">
      <c r="A20" s="22">
        <v>16</v>
      </c>
      <c r="B20" s="30" t="s">
        <v>1291</v>
      </c>
      <c r="C20" s="30" t="s">
        <v>1292</v>
      </c>
      <c r="D20" s="29">
        <v>500</v>
      </c>
    </row>
    <row r="21" s="12" customFormat="1" ht="30" customHeight="1" spans="1:4">
      <c r="A21" s="22">
        <v>17</v>
      </c>
      <c r="B21" s="30" t="s">
        <v>1291</v>
      </c>
      <c r="C21" s="30" t="s">
        <v>1293</v>
      </c>
      <c r="D21" s="29">
        <v>940</v>
      </c>
    </row>
    <row r="22" s="12" customFormat="1" ht="30" customHeight="1" spans="1:4">
      <c r="A22" s="22">
        <v>18</v>
      </c>
      <c r="B22" s="30" t="s">
        <v>1291</v>
      </c>
      <c r="C22" s="30" t="s">
        <v>1294</v>
      </c>
      <c r="D22" s="29">
        <v>260</v>
      </c>
    </row>
    <row r="23" s="12" customFormat="1" ht="30" customHeight="1" spans="1:4">
      <c r="A23" s="22">
        <v>19</v>
      </c>
      <c r="B23" s="30" t="s">
        <v>1295</v>
      </c>
      <c r="C23" s="30" t="s">
        <v>1296</v>
      </c>
      <c r="D23" s="29">
        <v>300</v>
      </c>
    </row>
    <row r="24" s="12" customFormat="1" ht="30" customHeight="1" spans="1:4">
      <c r="A24" s="22">
        <v>20</v>
      </c>
      <c r="B24" s="30" t="s">
        <v>1297</v>
      </c>
      <c r="C24" s="30" t="s">
        <v>1294</v>
      </c>
      <c r="D24" s="29">
        <v>250</v>
      </c>
    </row>
    <row r="25" s="12" customFormat="1" ht="30" customHeight="1" spans="1:4">
      <c r="A25" s="22">
        <v>21</v>
      </c>
      <c r="B25" s="30" t="s">
        <v>1298</v>
      </c>
      <c r="C25" s="30" t="s">
        <v>1294</v>
      </c>
      <c r="D25" s="29">
        <v>430</v>
      </c>
    </row>
    <row r="26" s="12" customFormat="1" ht="30" customHeight="1" spans="1:4">
      <c r="A26" s="22">
        <v>22</v>
      </c>
      <c r="B26" s="30" t="s">
        <v>1299</v>
      </c>
      <c r="C26" s="30" t="s">
        <v>1294</v>
      </c>
      <c r="D26" s="29">
        <v>230</v>
      </c>
    </row>
    <row r="27" s="12" customFormat="1" ht="30" customHeight="1" spans="1:4">
      <c r="A27" s="22">
        <v>23</v>
      </c>
      <c r="B27" s="30" t="s">
        <v>1300</v>
      </c>
      <c r="C27" s="30" t="s">
        <v>1294</v>
      </c>
      <c r="D27" s="29">
        <f>80+67</f>
        <v>147</v>
      </c>
    </row>
    <row r="28" s="12" customFormat="1" ht="30" customHeight="1" spans="1:4">
      <c r="A28" s="22">
        <v>24</v>
      </c>
      <c r="B28" s="30" t="s">
        <v>1301</v>
      </c>
      <c r="C28" s="30" t="s">
        <v>1294</v>
      </c>
      <c r="D28" s="29">
        <v>500</v>
      </c>
    </row>
    <row r="29" s="13" customFormat="1" ht="30" customHeight="1" spans="1:4">
      <c r="A29" s="31" t="s">
        <v>1302</v>
      </c>
      <c r="B29" s="31"/>
      <c r="C29" s="31"/>
      <c r="D29" s="32">
        <f>SUM(D5:D28)</f>
        <v>42000</v>
      </c>
    </row>
  </sheetData>
  <sheetProtection formatCells="0" insertHyperlinks="0" autoFilter="0"/>
  <mergeCells count="3">
    <mergeCell ref="A1:B1"/>
    <mergeCell ref="A2:D2"/>
    <mergeCell ref="A29:B29"/>
  </mergeCells>
  <printOptions horizontalCentered="1"/>
  <pageMargins left="0.393055555555556" right="0.393055555555556" top="0.393055555555556" bottom="0.393055555555556" header="0.393055555555556" footer="0.236111111111111"/>
  <pageSetup paperSize="9" scale="90" firstPageNumber="78" fitToHeight="0" orientation="portrait" useFirstPageNumber="1" horizontalDpi="600"/>
  <headerFooter alignWithMargins="0" scaleWithDoc="0">
    <oddFooter>&amp;C第 &amp;P 页，共 78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9" sqref="H9"/>
    </sheetView>
  </sheetViews>
  <sheetFormatPr defaultColWidth="9" defaultRowHeight="14.25" outlineLevelCol="4"/>
  <cols>
    <col min="1" max="1" width="51.5" style="1" customWidth="1"/>
    <col min="2" max="2" width="9" style="1"/>
    <col min="3" max="3" width="21.25" style="1" customWidth="1"/>
    <col min="4" max="4" width="19.75" style="1" customWidth="1"/>
    <col min="5" max="16384" width="9" style="1"/>
  </cols>
  <sheetData>
    <row r="1" ht="21" customHeight="1" spans="1:5">
      <c r="A1" s="2" t="s">
        <v>1303</v>
      </c>
      <c r="B1" s="3"/>
      <c r="C1" s="3"/>
      <c r="D1" s="3"/>
      <c r="E1" s="3"/>
    </row>
    <row r="2" ht="30" customHeight="1" spans="1:5">
      <c r="A2" s="4" t="s">
        <v>1304</v>
      </c>
      <c r="B2" s="4"/>
      <c r="C2" s="4"/>
      <c r="D2" s="4"/>
      <c r="E2" s="4"/>
    </row>
    <row r="3" ht="19" customHeight="1" spans="1:5">
      <c r="A3" s="5" t="s">
        <v>2</v>
      </c>
      <c r="B3" s="5"/>
      <c r="C3" s="5"/>
      <c r="D3" s="5"/>
      <c r="E3" s="5"/>
    </row>
    <row r="4" ht="32" customHeight="1" spans="1:5">
      <c r="A4" s="6" t="s">
        <v>1305</v>
      </c>
      <c r="B4" s="6" t="s">
        <v>1306</v>
      </c>
      <c r="C4" s="6" t="s">
        <v>1307</v>
      </c>
      <c r="D4" s="6" t="s">
        <v>1308</v>
      </c>
      <c r="E4" s="6" t="s">
        <v>1309</v>
      </c>
    </row>
    <row r="5" ht="29" customHeight="1" spans="1:5">
      <c r="A5" s="7" t="s">
        <v>1310</v>
      </c>
      <c r="B5" s="8" t="s">
        <v>1311</v>
      </c>
      <c r="C5" s="9">
        <v>1187666</v>
      </c>
      <c r="D5" s="9">
        <v>1187666</v>
      </c>
      <c r="E5" s="10"/>
    </row>
    <row r="6" ht="29" customHeight="1" spans="1:5">
      <c r="A6" s="7" t="s">
        <v>1312</v>
      </c>
      <c r="B6" s="8" t="s">
        <v>1313</v>
      </c>
      <c r="C6" s="9">
        <v>536476</v>
      </c>
      <c r="D6" s="9">
        <v>536476</v>
      </c>
      <c r="E6" s="10"/>
    </row>
    <row r="7" ht="29" customHeight="1" spans="1:5">
      <c r="A7" s="7" t="s">
        <v>1314</v>
      </c>
      <c r="B7" s="8" t="s">
        <v>1315</v>
      </c>
      <c r="C7" s="9">
        <v>651190</v>
      </c>
      <c r="D7" s="9">
        <v>651190</v>
      </c>
      <c r="E7" s="10"/>
    </row>
    <row r="8" ht="29" customHeight="1" spans="1:5">
      <c r="A8" s="7" t="s">
        <v>1316</v>
      </c>
      <c r="B8" s="8" t="s">
        <v>1317</v>
      </c>
      <c r="C8" s="9">
        <f>C9+C10</f>
        <v>213000</v>
      </c>
      <c r="D8" s="9">
        <f>D9+D10</f>
        <v>213000</v>
      </c>
      <c r="E8" s="10"/>
    </row>
    <row r="9" ht="29" customHeight="1" spans="1:5">
      <c r="A9" s="7" t="s">
        <v>1312</v>
      </c>
      <c r="B9" s="8" t="s">
        <v>1318</v>
      </c>
      <c r="C9" s="9">
        <f>1900+37400</f>
        <v>39300</v>
      </c>
      <c r="D9" s="9">
        <f>1900+37400</f>
        <v>39300</v>
      </c>
      <c r="E9" s="10"/>
    </row>
    <row r="10" ht="29" customHeight="1" spans="1:5">
      <c r="A10" s="7" t="s">
        <v>1314</v>
      </c>
      <c r="B10" s="8" t="s">
        <v>1319</v>
      </c>
      <c r="C10" s="9">
        <f>51600+34100+88000</f>
        <v>173700</v>
      </c>
      <c r="D10" s="9">
        <f>51600+34100+88000</f>
        <v>173700</v>
      </c>
      <c r="E10" s="10"/>
    </row>
    <row r="11" ht="26" customHeight="1" spans="1:5">
      <c r="A11" s="7" t="s">
        <v>1320</v>
      </c>
      <c r="B11" s="8" t="s">
        <v>1321</v>
      </c>
      <c r="C11" s="9">
        <f>C12+C13</f>
        <v>53500</v>
      </c>
      <c r="D11" s="9">
        <f>D12+D13</f>
        <v>53500</v>
      </c>
      <c r="E11" s="10"/>
    </row>
    <row r="12" ht="24" customHeight="1" spans="1:5">
      <c r="A12" s="7" t="s">
        <v>1322</v>
      </c>
      <c r="B12" s="8" t="s">
        <v>1323</v>
      </c>
      <c r="C12" s="9">
        <v>1900</v>
      </c>
      <c r="D12" s="9">
        <v>1900</v>
      </c>
      <c r="E12" s="10"/>
    </row>
    <row r="13" ht="24" customHeight="1" spans="1:5">
      <c r="A13" s="7" t="s">
        <v>1324</v>
      </c>
      <c r="B13" s="8" t="s">
        <v>1325</v>
      </c>
      <c r="C13" s="9">
        <v>51600</v>
      </c>
      <c r="D13" s="9">
        <v>51600</v>
      </c>
      <c r="E13" s="10"/>
    </row>
    <row r="14" ht="27" customHeight="1" spans="1:5">
      <c r="A14" s="7" t="s">
        <v>1326</v>
      </c>
      <c r="B14" s="8" t="s">
        <v>1327</v>
      </c>
      <c r="C14" s="9"/>
      <c r="D14" s="9"/>
      <c r="E14" s="10"/>
    </row>
    <row r="15" ht="27" customHeight="1" spans="1:5">
      <c r="A15" s="7" t="s">
        <v>1312</v>
      </c>
      <c r="B15" s="8" t="s">
        <v>1328</v>
      </c>
      <c r="C15" s="9"/>
      <c r="D15" s="9"/>
      <c r="E15" s="10"/>
    </row>
    <row r="16" ht="27" customHeight="1" spans="1:5">
      <c r="A16" s="7" t="s">
        <v>1314</v>
      </c>
      <c r="B16" s="8" t="s">
        <v>1329</v>
      </c>
      <c r="C16" s="9"/>
      <c r="D16" s="9"/>
      <c r="E16" s="10"/>
    </row>
  </sheetData>
  <mergeCells count="2">
    <mergeCell ref="A2:E2"/>
    <mergeCell ref="A3:E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2 " > < c o m m e n t C h a i n s   s : r e f = " D 1 5 "   r g b C l r = " F F 0 0 0 0 " > < u n r e s o l v e d > < c o m m e n t C h a i n   c h a i n I d = " f 4 3 2 a f 0 e 6 6 9 e 9 b 5 b 4 f 3 5 c e f f 9 4 7 e 1 9 4 4 4 5 2 4 c 0 d f " > < i t e m   i d = " f e e 4 3 3 d e a a f e a 7 a f f 9 b b f 3 2 4 2 7 8 c d 8 e e c a 4 b e c d 8 "   i s N o r m a l = " 1 " > < s : t e x t > < s : r > < s : t   x m l : s p a c e = " p r e s e r v e " > yb�l:  
 yb�l:  
 3 3 0 2 . 9 6 N/f?e�^��Yuy��v�V6eё���5 7 7 5 . 4 N/f�Wё�y�vKN���v�te�iRYOё��/f��y��v�V6eё��0 
 < / s : t > < / s : r > < / s : t e x t > < / i t e m > < / c o m m e n t C h a i n > < / u n r e s o l v e d > < r e s o l v e d / > < / c o m m e n t C h a i n s > < c o m m e n t C h a i n s   s : r e f = " D 1 8 "   r g b C l r = " F F 0 0 0 0 " > < u n r e s o l v e d > < c o m m e n t C h a i n   c h a i n I d = " 5 c 2 b 9 8 6 8 d 4 7 9 0 0 5 1 f b a 7 b 3 2 e f f 5 9 9 b d 9 0 7 2 8 a 2 f d " > < i t e m   i d = " 5 3 6 c 4 0 f 4 8 9 1 7 3 d 0 b b 5 9 9 a e f a 0 e d 8 7 b f b f 2 d 1 7 e 5 a "   i s N o r m a l = " 1 " > < s : t e x t > < s : r > < s : t   x m l : s p a c e = " p r e s e r v e " > yb�l:  
 �Wё�y�vKN���v�te��N2 1 2 0 8 9 9 �Ǐeg 
 < / s : t > < / s : r > < / s : t e x t > < / i t e m > < / c o m m e n t C h a i n > < / u n r e s o l v e d > < r e s o l v e d / > < / c o m m e n t C h a i n s > < c o m m e n t C h a i n s   s : r e f = " D 1 9 "   r g b C l r = " F F 0 0 0 0 " > < u n r e s o l v e d > < c o m m e n t C h a i n   c h a i n I d = " c 3 0 d e e b 9 7 2 0 4 e d 2 b 8 d c f 6 a 1 5 b 0 a 0 8 7 b 5 7 c b 9 1 5 f c " > < i t e m   i d = " 6 8 0 7 f 6 e 0 9 2 a 1 e a 6 1 7 a 5 3 0 2 f 0 a c a d c 6 8 f 8 d 8 0 c 1 1 a "   i s N o r m a l = " 1 " > < s : t e x t > < s : r > < s : t   x m l : s p a c e = " p r e s e r v e " > yb�l:  
 3 0 3 . 9 7 N/f��y��v�V6eё���4 7 4 . 5 8 N/f�Wё�y�v�v�te��N2 1 2 0 8 9 9 �Ǐeg 
 < / s : t > < / s : r > < / s : t e x t > < / i t e m > < / c o m m e n t C h a i n > < / u n r e s o l v e d > < r e s o l v e d / > < / c o m m e n t C h a i n s > < c o m m e n t C h a i n s   s : r e f = " D 2 3 "   r g b C l r = " F F 0 0 0 0 " > < u n r e s o l v e d > < c o m m e n t C h a i n   c h a i n I d = " 0 d 3 4 4 9 e c 5 0 3 a 9 a c c 7 4 a 7 b e e 5 d 6 3 0 9 6 e 5 8 e 2 d 7 6 7 5 " > < i t e m   i d = " c e 7 2 3 c a c 8 8 2 1 2 8 6 3 c a d c 2 e 6 2 8 8 2 3 9 a 5 e f d 3 5 5 c f 2 "   i s N o r m a l = " 1 " > < s : t e x t > < s : r > < s : t   x m l : s p a c e = " p r e s e r v e " > yb�l:  
 2 1 8 8 . 6 4 N/f��y��v�V6eё���1 8 8 0 . 6 9 N/f�Wё�y�vKN���v�te��N2 1 2 0 8 9 9 �Ǐeg 
 < / s : t > < / s : r > < / s : t e x t > < / i t e m > < / c o m m e n t C h a i n > < / u n r e s o l v e d > < r e s o l v e d / > < / c o m m e n t C h a i n s > < c o m m e n t C h a i n s   s : r e f = " D 2 5 "   r g b C l r = " F F 0 0 0 0 " > < u n r e s o l v e d > < c o m m e n t C h a i n   c h a i n I d = " 8 0 f 9 9 1 1 3 7 1 7 f 5 1 1 1 3 b 0 8 5 7 a 2 8 0 2 5 6 a 9 c 2 8 b b b 7 8 3 " > < i t e m   i d = " 9 e 3 d 5 a c 7 3 0 a 0 0 c c e c a d 7 1 b d b 7 f 0 2 8 4 b 1 8 c 0 4 7 c 9 5 "   i s N o r m a l = " 1 " > < s : t e x t > < s : r > < s : t   x m l : s p a c e = " p r e s e r v e " > yb�l:  
 1 3 5 7 . 6 3 N/f��y��v�v�V6eё���4 1 3 . 9 N/f�Wё�y�vKN���v�te��N2 1 2 0 8 9 9 �Ǐeg 
 < / s : t > < / s : r > < / s : t e x t > < / i t e m > < / c o m m e n t C h a i n > < / u n r e s o l v e d > < r e s o l v e d / > < / c o m m e n t C h a i n s > < c o m m e n t C h a i n s   s : r e f = " D 4 3 "   r g b C l r = " F F 0 0 0 0 " > < u n r e s o l v e d > < c o m m e n t C h a i n   c h a i n I d = " 5 2 1 c 2 2 c c 3 2 d 6 5 e 8 8 e d 2 e 2 f 3 a b f d 5 d 3 b 6 b 4 5 e 8 1 6 e " > < i t e m   i d = " 5 0 f 8 1 4 9 2 9 c 5 3 4 e 4 a 0 d 9 0 c f d 8 2 2 5 7 a 7 c 3 c e d d b e 8 8 "   i s N o r m a l = " 1 " > < s : t e x t > < s : r > < s : t   x m l : s p a c e = " p r e s e r v e " > yb�l:  
 4 0 . 8 5 N/f�Wё�y�vKN���v�te��N2 1 2 0 8 9 9 �Ǐeg 
  
 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1 4 " / > < p i x e l a t o r L i s t   s h e e t S t i d = " 8 " / > < p i x e l a t o r L i s t   s h e e t S t i d = " 1 2 " / > < p i x e l a t o r L i s t   s h e e t S t i d = " 1 0 " / > < p i x e l a t o r L i s t   s h e e t S t i d = " 1 1 " / > < p i x e l a t o r L i s t   s h e e t S t i d = " 1 " / > < p i x e l a t o r L i s t   s h e e t S t i d = " 1 3 " / > < p i x e l a t o r L i s t   s h e e t S t i d = " 1 5 " / > < p i x e l a t o r L i s t   s h e e t S t i d = " 1 6 " / > < p i x e l a t o r L i s t   s h e e t S t i d = " 1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Office WWO_wpscloud_20240305111834-b523323eda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 一般公共预算收支总表</vt:lpstr>
      <vt:lpstr>表2 一般公共预算支出科目明细表 </vt:lpstr>
      <vt:lpstr>表3 政府性基金收支总表</vt:lpstr>
      <vt:lpstr>表4 政府性基金支出科目明细表</vt:lpstr>
      <vt:lpstr>表5 专项债分配方案</vt:lpstr>
      <vt:lpstr>表6 债务限额调整表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预算管理室</dc:creator>
  <cp:lastModifiedBy>预算管理室</cp:lastModifiedBy>
  <dcterms:created xsi:type="dcterms:W3CDTF">2024-11-14T08:21:00Z</dcterms:created>
  <dcterms:modified xsi:type="dcterms:W3CDTF">2024-12-27T11:14:44Z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52DFAEBEF1854EBEBDA6D37038988952_12</vt:lpwstr>
  </property>
</Properties>
</file>